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amhällsbyggnad\MEK\Projekt\Energi och klimatomställning i offentlig sektor\2 Genomförande\Arbetspaket B\Bränslerutin och statistik\"/>
    </mc:Choice>
  </mc:AlternateContent>
  <xr:revisionPtr revIDLastSave="0" documentId="13_ncr:1_{9E327774-64AE-40C4-9DEA-D16EDF844885}" xr6:coauthVersionLast="44" xr6:coauthVersionMax="44" xr10:uidLastSave="{00000000-0000-0000-0000-000000000000}"/>
  <bookViews>
    <workbookView xWindow="-120" yWindow="-120" windowWidth="29040" windowHeight="15840" xr2:uid="{34811E16-6AE8-4CED-BE2A-7CAD6C49485B}"/>
  </bookViews>
  <sheets>
    <sheet name="Information" sheetId="6" r:id="rId1"/>
    <sheet name="Inmatning" sheetId="1" r:id="rId2"/>
    <sheet name="Summering" sheetId="5" r:id="rId3"/>
    <sheet name="Grafer" sheetId="4" r:id="rId4"/>
    <sheet name="Rullista" sheetId="2" state="hidden" r:id="rId5"/>
    <sheet name="Data" sheetId="3"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3" l="1"/>
  <c r="F19" i="3"/>
  <c r="F17" i="3"/>
  <c r="F15" i="3"/>
  <c r="F13" i="3"/>
  <c r="F11" i="3"/>
  <c r="F9" i="3"/>
  <c r="F7" i="3"/>
  <c r="F3" i="3"/>
  <c r="F20" i="3"/>
  <c r="F18" i="3"/>
  <c r="F16" i="3"/>
  <c r="F14" i="3"/>
  <c r="F12" i="3"/>
  <c r="F10" i="3"/>
  <c r="F8" i="3"/>
  <c r="F6" i="3"/>
  <c r="F2" i="3"/>
  <c r="H20" i="3"/>
  <c r="H18" i="3"/>
  <c r="H16" i="3"/>
  <c r="H14" i="3"/>
  <c r="H12" i="3"/>
  <c r="H10" i="3"/>
  <c r="H8" i="3"/>
  <c r="H6" i="3"/>
  <c r="H2" i="3"/>
  <c r="J2" i="3"/>
  <c r="L20" i="3"/>
  <c r="L15" i="3"/>
  <c r="L19" i="3"/>
  <c r="L21" i="3"/>
  <c r="J21" i="3"/>
  <c r="J19" i="3"/>
  <c r="J17" i="3"/>
  <c r="J15" i="3"/>
  <c r="J13" i="3"/>
  <c r="J11" i="3"/>
  <c r="J9" i="3"/>
  <c r="J7" i="3"/>
  <c r="J3" i="3"/>
  <c r="J20" i="3" l="1"/>
  <c r="N21" i="3"/>
  <c r="N19" i="3"/>
  <c r="N17" i="3"/>
  <c r="N15" i="3"/>
  <c r="N13" i="3"/>
  <c r="N11" i="3"/>
  <c r="N7" i="3"/>
  <c r="L17" i="3"/>
  <c r="L13" i="3"/>
  <c r="L11" i="3"/>
  <c r="L7" i="3"/>
  <c r="T29" i="3"/>
  <c r="S29" i="3"/>
  <c r="T38" i="3"/>
  <c r="S38" i="3"/>
  <c r="T22" i="3"/>
  <c r="S22" i="3"/>
  <c r="L24" i="5" l="1"/>
  <c r="L25" i="5"/>
  <c r="L26" i="5"/>
  <c r="L27" i="5"/>
  <c r="L28" i="5"/>
  <c r="L29" i="5"/>
  <c r="L23" i="5"/>
  <c r="L20" i="5"/>
  <c r="L19" i="5"/>
  <c r="L18" i="5"/>
  <c r="L17" i="5"/>
  <c r="L16" i="5"/>
  <c r="L15" i="5"/>
  <c r="L14" i="5"/>
  <c r="L13" i="5"/>
  <c r="H13" i="5"/>
  <c r="J13" i="5"/>
  <c r="V6" i="3" l="1"/>
  <c r="V7" i="3"/>
  <c r="V8" i="3"/>
  <c r="V9" i="3"/>
  <c r="E5" i="3"/>
  <c r="V4" i="3" l="1"/>
  <c r="V5" i="3"/>
  <c r="V3" i="3"/>
  <c r="F30" i="4" l="1"/>
  <c r="C30" i="4" l="1"/>
  <c r="J17" i="5"/>
  <c r="C34" i="4" s="1"/>
  <c r="J20" i="5"/>
  <c r="C37" i="4" s="1"/>
  <c r="J18" i="5"/>
  <c r="C35" i="4" s="1"/>
  <c r="J16" i="5"/>
  <c r="C33" i="4" s="1"/>
  <c r="J15" i="5"/>
  <c r="C32" i="4" s="1"/>
  <c r="J14" i="5"/>
  <c r="C31" i="4" s="1"/>
  <c r="H20" i="5"/>
  <c r="H19" i="5"/>
  <c r="J19" i="5" s="1"/>
  <c r="H16" i="5"/>
  <c r="H15" i="5"/>
  <c r="H18" i="5"/>
  <c r="H17" i="5"/>
  <c r="H14" i="5"/>
  <c r="C25" i="5"/>
  <c r="D25" i="5"/>
  <c r="K14" i="4" s="1"/>
  <c r="F34" i="4" l="1"/>
  <c r="F33" i="4"/>
  <c r="F37" i="4"/>
  <c r="F35" i="4"/>
  <c r="F31" i="4"/>
  <c r="F32" i="4"/>
  <c r="C36" i="4"/>
  <c r="E21" i="3"/>
  <c r="E20" i="3"/>
  <c r="C20" i="3"/>
  <c r="G20" i="3" s="1"/>
  <c r="A20" i="3"/>
  <c r="I20" i="3" s="1"/>
  <c r="I39" i="1" s="1"/>
  <c r="E19" i="3"/>
  <c r="E18" i="3"/>
  <c r="C18" i="3"/>
  <c r="G18" i="3" s="1"/>
  <c r="A18" i="3"/>
  <c r="I18" i="3" s="1"/>
  <c r="I37" i="1" s="1"/>
  <c r="E17" i="3"/>
  <c r="E16" i="3"/>
  <c r="C16" i="3"/>
  <c r="G16" i="3" s="1"/>
  <c r="A16" i="3"/>
  <c r="I16" i="3" s="1"/>
  <c r="I35" i="1" s="1"/>
  <c r="E15" i="3"/>
  <c r="E14" i="3"/>
  <c r="C14" i="3"/>
  <c r="G14" i="3" s="1"/>
  <c r="A14" i="3"/>
  <c r="I14" i="3" s="1"/>
  <c r="I33" i="1" s="1"/>
  <c r="E13" i="3"/>
  <c r="E12" i="3"/>
  <c r="C12" i="3"/>
  <c r="G13" i="3" s="1"/>
  <c r="A12" i="3"/>
  <c r="I12" i="3" s="1"/>
  <c r="I31" i="1" s="1"/>
  <c r="E11" i="3"/>
  <c r="E10" i="3"/>
  <c r="C10" i="3"/>
  <c r="G11" i="3" s="1"/>
  <c r="A10" i="3"/>
  <c r="I10" i="3" s="1"/>
  <c r="I29" i="1" s="1"/>
  <c r="E9" i="3"/>
  <c r="E8" i="3"/>
  <c r="C8" i="3"/>
  <c r="G8" i="3" s="1"/>
  <c r="A8" i="3"/>
  <c r="E7" i="3"/>
  <c r="E6" i="3"/>
  <c r="C6" i="3"/>
  <c r="G7" i="3" s="1"/>
  <c r="A6" i="3"/>
  <c r="E4" i="3"/>
  <c r="H4" i="3" s="1"/>
  <c r="C4" i="3"/>
  <c r="G4" i="3" s="1"/>
  <c r="A4" i="3"/>
  <c r="F5" i="3" l="1"/>
  <c r="F4" i="3"/>
  <c r="I4" i="3"/>
  <c r="I23" i="1" s="1"/>
  <c r="I8" i="3"/>
  <c r="I27" i="1" s="1"/>
  <c r="I6" i="3"/>
  <c r="I25" i="1" s="1"/>
  <c r="B10" i="3"/>
  <c r="F36" i="4"/>
  <c r="G6" i="3"/>
  <c r="B6" i="3"/>
  <c r="G12" i="3"/>
  <c r="G10" i="3"/>
  <c r="B12" i="3"/>
  <c r="B18" i="3"/>
  <c r="G19" i="3"/>
  <c r="G21" i="3"/>
  <c r="B20" i="3"/>
  <c r="G17" i="3"/>
  <c r="B16" i="3"/>
  <c r="G15" i="3"/>
  <c r="B14" i="3"/>
  <c r="G9" i="3"/>
  <c r="B8" i="3"/>
  <c r="G5" i="3"/>
  <c r="B4" i="3"/>
  <c r="N9" i="3" l="1"/>
  <c r="L9" i="3"/>
  <c r="D11" i="3"/>
  <c r="D10" i="3"/>
  <c r="D18" i="3"/>
  <c r="D6" i="3"/>
  <c r="D7" i="3"/>
  <c r="D19" i="3"/>
  <c r="D12" i="3"/>
  <c r="D13" i="3"/>
  <c r="D20" i="3"/>
  <c r="D21" i="3"/>
  <c r="D17" i="3"/>
  <c r="D16" i="3"/>
  <c r="D14" i="3"/>
  <c r="D15" i="3"/>
  <c r="D8" i="3"/>
  <c r="D9" i="3"/>
  <c r="D4" i="3"/>
  <c r="D5" i="3"/>
  <c r="N14" i="3" l="1"/>
  <c r="J14" i="3"/>
  <c r="K14" i="3" s="1"/>
  <c r="L14" i="3"/>
  <c r="M14" i="3" s="1"/>
  <c r="L6" i="3"/>
  <c r="M6" i="3" s="1"/>
  <c r="J6" i="3"/>
  <c r="K6" i="3" s="1"/>
  <c r="N6" i="3"/>
  <c r="L16" i="3"/>
  <c r="M16" i="3" s="1"/>
  <c r="J16" i="3"/>
  <c r="K16" i="3" s="1"/>
  <c r="N16" i="3"/>
  <c r="L12" i="3"/>
  <c r="M12" i="3" s="1"/>
  <c r="N12" i="3"/>
  <c r="J12" i="3"/>
  <c r="K12" i="3" s="1"/>
  <c r="N18" i="3"/>
  <c r="J18" i="3"/>
  <c r="K18" i="3" s="1"/>
  <c r="L18" i="3"/>
  <c r="M18" i="3" s="1"/>
  <c r="N10" i="3"/>
  <c r="L10" i="3"/>
  <c r="M10" i="3" s="1"/>
  <c r="J10" i="3"/>
  <c r="K10" i="3" s="1"/>
  <c r="M20" i="3"/>
  <c r="K20" i="3"/>
  <c r="N20" i="3"/>
  <c r="J8" i="3"/>
  <c r="K8" i="3" s="1"/>
  <c r="J4" i="3"/>
  <c r="J5" i="3"/>
  <c r="G39" i="1"/>
  <c r="G38" i="1"/>
  <c r="G36" i="1"/>
  <c r="G35" i="1"/>
  <c r="G33" i="1"/>
  <c r="G32" i="1"/>
  <c r="G30" i="1"/>
  <c r="G29" i="1"/>
  <c r="G28" i="1"/>
  <c r="G25" i="1"/>
  <c r="G23" i="1"/>
  <c r="G37" i="1"/>
  <c r="G31" i="1"/>
  <c r="G27" i="1"/>
  <c r="O12" i="3" l="1"/>
  <c r="N31" i="1" s="1"/>
  <c r="O10" i="3"/>
  <c r="N29" i="1" s="1"/>
  <c r="O20" i="3"/>
  <c r="N5" i="3"/>
  <c r="O6" i="3"/>
  <c r="L5" i="3"/>
  <c r="N4" i="3"/>
  <c r="L4" i="3"/>
  <c r="K4" i="3"/>
  <c r="O18" i="3"/>
  <c r="N37" i="1" s="1"/>
  <c r="O16" i="3"/>
  <c r="N35" i="1" s="1"/>
  <c r="O14" i="3"/>
  <c r="L8" i="3"/>
  <c r="M8" i="3" s="1"/>
  <c r="N8" i="3"/>
  <c r="L29" i="1"/>
  <c r="L35" i="1"/>
  <c r="M35" i="1"/>
  <c r="L31" i="1"/>
  <c r="L37" i="1"/>
  <c r="M37" i="1"/>
  <c r="G24" i="1"/>
  <c r="G40" i="1"/>
  <c r="G34" i="1"/>
  <c r="M29" i="1"/>
  <c r="G26" i="1"/>
  <c r="E2" i="3"/>
  <c r="E3" i="3"/>
  <c r="M4" i="3" l="1"/>
  <c r="O4" i="3" s="1"/>
  <c r="N23" i="1" s="1"/>
  <c r="E19" i="5" s="1"/>
  <c r="O8" i="3"/>
  <c r="N27" i="1" s="1"/>
  <c r="N39" i="1"/>
  <c r="M39" i="1"/>
  <c r="L39" i="1"/>
  <c r="N33" i="1"/>
  <c r="M33" i="1"/>
  <c r="M31" i="1"/>
  <c r="M27" i="1"/>
  <c r="L27" i="1"/>
  <c r="L25" i="1"/>
  <c r="N25" i="1"/>
  <c r="M25" i="1"/>
  <c r="M23" i="1" l="1"/>
  <c r="L23" i="1"/>
  <c r="L33" i="1"/>
  <c r="A2" i="3"/>
  <c r="C2" i="3"/>
  <c r="L2" i="3" l="1"/>
  <c r="I2" i="3"/>
  <c r="I21" i="1" s="1"/>
  <c r="G3" i="3"/>
  <c r="G22" i="1" s="1"/>
  <c r="B2" i="3"/>
  <c r="G2" i="3"/>
  <c r="G21" i="1" s="1"/>
  <c r="D3" i="3" l="1"/>
  <c r="D2" i="3"/>
  <c r="N2" i="3" l="1"/>
  <c r="C18" i="5"/>
  <c r="C20" i="5"/>
  <c r="K2" i="3" l="1"/>
  <c r="L21" i="1" s="1"/>
  <c r="C15" i="5" s="1"/>
  <c r="L3" i="3"/>
  <c r="N3" i="3"/>
  <c r="E25" i="5"/>
  <c r="H25" i="5" s="1"/>
  <c r="J25" i="5" s="1"/>
  <c r="E23" i="5"/>
  <c r="E18" i="5"/>
  <c r="C19" i="5"/>
  <c r="D18" i="5"/>
  <c r="D19" i="5"/>
  <c r="E20" i="5"/>
  <c r="D20" i="5"/>
  <c r="M2" i="3" l="1"/>
  <c r="M21" i="1" s="1"/>
  <c r="D14" i="5" s="1"/>
  <c r="C16" i="5"/>
  <c r="C28" i="5"/>
  <c r="E16" i="5"/>
  <c r="E28" i="5"/>
  <c r="D29" i="5"/>
  <c r="K18" i="4" s="1"/>
  <c r="D16" i="5"/>
  <c r="E27" i="5"/>
  <c r="H27" i="5" s="1"/>
  <c r="J27" i="5" s="1"/>
  <c r="E29" i="5"/>
  <c r="C27" i="5"/>
  <c r="C29" i="5"/>
  <c r="D27" i="5"/>
  <c r="K16" i="4" s="1"/>
  <c r="D17" i="5"/>
  <c r="C14" i="5"/>
  <c r="C13" i="5"/>
  <c r="H23" i="5"/>
  <c r="C17" i="5"/>
  <c r="C26" i="5"/>
  <c r="E26" i="5"/>
  <c r="D26" i="5"/>
  <c r="K15" i="4" s="1"/>
  <c r="C24" i="5"/>
  <c r="C13" i="4"/>
  <c r="C8" i="5"/>
  <c r="C23" i="5"/>
  <c r="D23" i="5"/>
  <c r="K12" i="4" s="1"/>
  <c r="O2" i="3" l="1"/>
  <c r="N21" i="1" s="1"/>
  <c r="E8" i="5" s="1"/>
  <c r="D8" i="5"/>
  <c r="D24" i="5"/>
  <c r="K13" i="4" s="1"/>
  <c r="D13" i="5"/>
  <c r="D28" i="5"/>
  <c r="K17" i="4" s="1"/>
  <c r="D15" i="5"/>
  <c r="H28" i="5"/>
  <c r="J28" i="5" s="1"/>
  <c r="C14" i="4"/>
  <c r="H29" i="5"/>
  <c r="J29" i="5" s="1"/>
  <c r="C15" i="4"/>
  <c r="J23" i="5"/>
  <c r="H26" i="5"/>
  <c r="J26" i="5" s="1"/>
  <c r="E17" i="5" l="1"/>
  <c r="E14" i="5"/>
  <c r="E15" i="5"/>
  <c r="E13" i="5"/>
  <c r="E24" i="5"/>
  <c r="C12" i="4" l="1"/>
  <c r="H24" i="5"/>
  <c r="J24" i="5" s="1"/>
</calcChain>
</file>

<file path=xl/sharedStrings.xml><?xml version="1.0" encoding="utf-8"?>
<sst xmlns="http://schemas.openxmlformats.org/spreadsheetml/2006/main" count="332" uniqueCount="139">
  <si>
    <t>till och med</t>
  </si>
  <si>
    <t>Avser:</t>
  </si>
  <si>
    <t>Bränsle</t>
  </si>
  <si>
    <t>Bränsleförbrukning</t>
  </si>
  <si>
    <t>Fordonstyp</t>
  </si>
  <si>
    <t>Körsträcka</t>
  </si>
  <si>
    <t>kg CO2</t>
  </si>
  <si>
    <t>CO2-ekv</t>
  </si>
  <si>
    <t>kWh</t>
  </si>
  <si>
    <t>-</t>
  </si>
  <si>
    <t>Personbil</t>
  </si>
  <si>
    <t>Lätt lastbil</t>
  </si>
  <si>
    <t>Tung lastbil</t>
  </si>
  <si>
    <t>Moped</t>
  </si>
  <si>
    <t>Motorcykel</t>
  </si>
  <si>
    <t>Cykel</t>
  </si>
  <si>
    <t>Tunnelbana</t>
  </si>
  <si>
    <t>Taxi</t>
  </si>
  <si>
    <t>Transportstyp</t>
  </si>
  <si>
    <t>Pendeltåg</t>
  </si>
  <si>
    <t>Regionaltåg</t>
  </si>
  <si>
    <t>Snabbtåg</t>
  </si>
  <si>
    <t>Intercitytåg</t>
  </si>
  <si>
    <t>Bensin</t>
  </si>
  <si>
    <t>Diesel</t>
  </si>
  <si>
    <t>Biodiesel (HVO 100%)</t>
  </si>
  <si>
    <t>Etanol (E85)</t>
  </si>
  <si>
    <t>Fordonsgas (blandning)</t>
  </si>
  <si>
    <t>Biogas</t>
  </si>
  <si>
    <t>El</t>
  </si>
  <si>
    <t>Bifuel gas/bensin</t>
  </si>
  <si>
    <t>Laddhybrid bensin</t>
  </si>
  <si>
    <t>Laddhybrid diesel</t>
  </si>
  <si>
    <t>Enhet:</t>
  </si>
  <si>
    <t>liter</t>
  </si>
  <si>
    <t>kg</t>
  </si>
  <si>
    <t>fordonskm</t>
  </si>
  <si>
    <t>Klimatpåverkan, CO2-ekv</t>
  </si>
  <si>
    <t>Utsläpp, kg CO2</t>
  </si>
  <si>
    <t>Stadsbuss</t>
  </si>
  <si>
    <t>Långfärdsbuss</t>
  </si>
  <si>
    <t>Flexifuel etanol/bensin</t>
  </si>
  <si>
    <t>personkm</t>
  </si>
  <si>
    <t>Personbil Bensin</t>
  </si>
  <si>
    <t>Personbil Diesel</t>
  </si>
  <si>
    <t>Personbil Biodiesel (HVO 100%)</t>
  </si>
  <si>
    <t>Personbil Flexifuel etanol/bensin</t>
  </si>
  <si>
    <t>Personbil Bifuel gas/bensin</t>
  </si>
  <si>
    <t>Personbil Laddhybrid Bensin</t>
  </si>
  <si>
    <t>Personbil Laddhybrid Diesel</t>
  </si>
  <si>
    <t>Personbil El</t>
  </si>
  <si>
    <t>Lätt lastbil Bensin</t>
  </si>
  <si>
    <t>Lätt lastbil Diesel</t>
  </si>
  <si>
    <t>Lätt lastbil Bifuel gas/bensin</t>
  </si>
  <si>
    <t>Lätt lastbil El</t>
  </si>
  <si>
    <t>Moped El</t>
  </si>
  <si>
    <t>Stadsbuss El</t>
  </si>
  <si>
    <t>Stadsbuss Diesel</t>
  </si>
  <si>
    <t>Stadsbuss Fordonsgas (blanding)</t>
  </si>
  <si>
    <t>Stadsbuss Biogas</t>
  </si>
  <si>
    <t>Stadsbuss Biodiesel (HVO 100%)</t>
  </si>
  <si>
    <t>Energianvänd- ning, kWh</t>
  </si>
  <si>
    <t>Hybrid?</t>
  </si>
  <si>
    <t>Sum CO2</t>
  </si>
  <si>
    <t>Sum GWP</t>
  </si>
  <si>
    <t>Sum kWh</t>
  </si>
  <si>
    <t>Energianvändning, kWh</t>
  </si>
  <si>
    <t>Spårtrafik</t>
  </si>
  <si>
    <t>Tvåhjuligt (motor)</t>
  </si>
  <si>
    <t>Inmatning av bränslemängd eller resedata</t>
  </si>
  <si>
    <t>TOTAL SUMMA</t>
  </si>
  <si>
    <t>Specificering</t>
  </si>
  <si>
    <t>ANDEL FÖRNYBARA BRÄNSLEN  (%,KWH)</t>
  </si>
  <si>
    <t>Fossila bränslen</t>
  </si>
  <si>
    <t>ANDEL FOSSILFRIA FORDON I BRUK (%, ST)</t>
  </si>
  <si>
    <t>Antal fordon</t>
  </si>
  <si>
    <t>Buss</t>
  </si>
  <si>
    <t>Fossilt drivna fordon</t>
  </si>
  <si>
    <t>Förnybart drivna fordon</t>
  </si>
  <si>
    <t>ANDEL FOSSILT DRIVNA FORDON I BRUK (%, ST)</t>
  </si>
  <si>
    <t>Period för data:</t>
  </si>
  <si>
    <t>(ÅÅÅÅ-MM-DD)</t>
  </si>
  <si>
    <t>T.ex. 2019-02-01</t>
  </si>
  <si>
    <t>T.ex. 2020-01-31</t>
  </si>
  <si>
    <t>Varav fossilfria</t>
  </si>
  <si>
    <t>"</t>
  </si>
  <si>
    <t>Fordonstyp/endast bränsle</t>
  </si>
  <si>
    <t>Nedan matas värden in som motsvarar den bränslemängd som använts eller transport ni genomfört, detta matas in i de vita cellerna. Tänk på enheten som efterfrågas!</t>
  </si>
  <si>
    <t>T.ex. "Länsstyrelsen Värmlands bränsleanvändning"</t>
  </si>
  <si>
    <t xml:space="preserve">Verktyg för beräkning och uppföljning av bränsle, fordon och transporters klimatutsläpp </t>
  </si>
  <si>
    <t>Kontakt:</t>
  </si>
  <si>
    <t>Senast uppdaterad:</t>
  </si>
  <si>
    <t>Gustav Green</t>
  </si>
  <si>
    <t>Uppdaterad av:</t>
  </si>
  <si>
    <t>T.ex. "Poolbil Toyota"</t>
  </si>
  <si>
    <t>Endast bränsle</t>
  </si>
  <si>
    <t>gustav.green@lansstyrelsen.se</t>
  </si>
  <si>
    <t>T.ex. "Bränsle till motorsåg"</t>
  </si>
  <si>
    <t>Kostnad</t>
  </si>
  <si>
    <t>kr/liter</t>
  </si>
  <si>
    <t>kr/kg</t>
  </si>
  <si>
    <t>kr</t>
  </si>
  <si>
    <t>kr/kWh</t>
  </si>
  <si>
    <r>
      <rPr>
        <b/>
        <sz val="10"/>
        <color rgb="FF0070C0"/>
        <rFont val="Arial"/>
        <family val="2"/>
      </rPr>
      <t>Blått fält</t>
    </r>
    <r>
      <rPr>
        <b/>
        <sz val="10"/>
        <rFont val="Arial"/>
        <family val="2"/>
      </rPr>
      <t xml:space="preserve"> = välj värde i en rullista. </t>
    </r>
    <r>
      <rPr>
        <b/>
        <sz val="10"/>
        <color theme="0"/>
        <rFont val="Arial"/>
        <family val="2"/>
      </rPr>
      <t>Vitt fält</t>
    </r>
    <r>
      <rPr>
        <b/>
        <sz val="10"/>
        <rFont val="Arial"/>
        <family val="2"/>
      </rPr>
      <t xml:space="preserve"> = skriv in värde själv. </t>
    </r>
    <r>
      <rPr>
        <b/>
        <sz val="10"/>
        <color theme="0" tint="-0.499984740745262"/>
        <rFont val="Arial"/>
        <family val="2"/>
      </rPr>
      <t xml:space="preserve">Grått fält </t>
    </r>
    <r>
      <rPr>
        <b/>
        <sz val="10"/>
        <rFont val="Arial"/>
        <family val="2"/>
      </rPr>
      <t>= skall ej fyllas i.</t>
    </r>
  </si>
  <si>
    <t>Bränsle (från kr)</t>
  </si>
  <si>
    <t>T.ex. "Fältbil"</t>
  </si>
  <si>
    <t>Bränslepris (fyll i egen schablon)</t>
  </si>
  <si>
    <t>Summering av inmatade värden</t>
  </si>
  <si>
    <t>Denna mall kan användas både för att fylla i ett transportarbete (välj ett fordon i rullmenyn "Fordonstyp/endast bränsle") eller bränsleanvändning från annan typ av aktivitet (välj då "Endast bränsle" i rullmenyn "Fordonstyp/endast bränsle"). En summering och visuell presentation av det som matas in här återfinns under fliken "Summering" respektive "Grafer".</t>
  </si>
  <si>
    <t>T.ex. "Poolbil Volkswagen"</t>
  </si>
  <si>
    <t>Uppdelat på transportslag</t>
  </si>
  <si>
    <t>km</t>
  </si>
  <si>
    <t>Bränslemängd och uppskattad kostnad</t>
  </si>
  <si>
    <t>Ej transport</t>
  </si>
  <si>
    <t>Antal fordon och uppskattad körsträcka</t>
  </si>
  <si>
    <t>st</t>
  </si>
  <si>
    <t>Totalt antal fordon</t>
  </si>
  <si>
    <t>Uppdelat på bränsleslag</t>
  </si>
  <si>
    <t>kr/l, schablon</t>
  </si>
  <si>
    <t>kr/kg, schablon</t>
  </si>
  <si>
    <t>kr/kWh, schablon</t>
  </si>
  <si>
    <t>Visuell presentation av inmatade värden</t>
  </si>
  <si>
    <t>Personbil Fordonsgas (blandning)</t>
  </si>
  <si>
    <t>Personbil Biogas</t>
  </si>
  <si>
    <t>CO2-E BRÄNSLE</t>
  </si>
  <si>
    <r>
      <t xml:space="preserve">De värden som har matats in under fliken "Inmatning" visualiseras här. Använd gärna graferna som underlag till uppföljning av en leverantör i ett avtal eller för att följa upp miljömål.
- </t>
    </r>
    <r>
      <rPr>
        <b/>
        <sz val="11"/>
        <color theme="1"/>
        <rFont val="Calibri"/>
        <family val="2"/>
        <scheme val="minor"/>
      </rPr>
      <t>Graferna högst upp</t>
    </r>
    <r>
      <rPr>
        <sz val="11"/>
        <color theme="1"/>
        <rFont val="Calibri"/>
        <family val="2"/>
        <scheme val="minor"/>
      </rPr>
      <t xml:space="preserve"> till  visar andelen förnybara bränslen respektive klimatpåverkan från de bränslen som har rapporterats.
- </t>
    </r>
    <r>
      <rPr>
        <b/>
        <sz val="11"/>
        <color theme="1"/>
        <rFont val="Calibri"/>
        <family val="2"/>
        <scheme val="minor"/>
      </rPr>
      <t>Graferna längst ner</t>
    </r>
    <r>
      <rPr>
        <sz val="11"/>
        <color theme="1"/>
        <rFont val="Calibri"/>
        <family val="2"/>
        <scheme val="minor"/>
      </rPr>
      <t xml:space="preserve"> visar andelen förnybart respektive fossilt drivmedel som används och dess fördelning över de fordon som använts.
</t>
    </r>
    <r>
      <rPr>
        <b/>
        <sz val="11"/>
        <color theme="1"/>
        <rFont val="Calibri"/>
        <family val="2"/>
        <scheme val="minor"/>
      </rPr>
      <t>OBS: Hybrider klassas som fossilt drivna fordon.</t>
    </r>
  </si>
  <si>
    <t>De värden som har matats in under fliken "Inmatning" summeras här för att ge en överblick av de koldioxidutsläpp, klimatpåverkan och energianvändning för det inmatningen avser. I denna flik ska ni inte ändra i några celler, behöver du ändra något värde, använd fliken "Inmatning" istället.</t>
  </si>
  <si>
    <r>
      <t xml:space="preserve">Detta verktyg är gjort för dig som följer upp bränsle-, fordon- eller transportavtal inom offentlig organisation. Verktyget har tagits fram som en del av projektet </t>
    </r>
    <r>
      <rPr>
        <i/>
        <sz val="10"/>
        <color theme="1"/>
        <rFont val="Arial"/>
        <family val="2"/>
      </rPr>
      <t xml:space="preserve">Värdeskapande processtöd för energi- och klimatomställning av offentliga organisationers transporter </t>
    </r>
    <r>
      <rPr>
        <sz val="10"/>
        <color theme="1"/>
        <rFont val="Arial"/>
        <family val="2"/>
      </rPr>
      <t>(pågår tom. 2020-10-31)</t>
    </r>
    <r>
      <rPr>
        <i/>
        <sz val="10"/>
        <color theme="1"/>
        <rFont val="Arial"/>
        <family val="2"/>
      </rPr>
      <t>.</t>
    </r>
    <r>
      <rPr>
        <sz val="10"/>
        <color theme="1"/>
        <rFont val="Arial"/>
        <family val="2"/>
      </rPr>
      <t xml:space="preserve"> Filen kan även delas med leverantörer som fyller i sina egna data inom avtalet, alternativt kan den offentliga organisationen fylla i data som leverantören anger. 
Filen delas in i följande flikar:
</t>
    </r>
    <r>
      <rPr>
        <b/>
        <sz val="10"/>
        <color theme="1"/>
        <rFont val="Arial"/>
        <family val="2"/>
      </rPr>
      <t xml:space="preserve">- Information: </t>
    </r>
    <r>
      <rPr>
        <sz val="10"/>
        <color theme="1"/>
        <rFont val="Arial"/>
        <family val="2"/>
      </rPr>
      <t xml:space="preserve">Denna sida, här beskrivs allmän information om filen.
</t>
    </r>
    <r>
      <rPr>
        <b/>
        <sz val="10"/>
        <color theme="1"/>
        <rFont val="Arial"/>
        <family val="2"/>
      </rPr>
      <t xml:space="preserve">- Inmatning: </t>
    </r>
    <r>
      <rPr>
        <sz val="10"/>
        <color theme="1"/>
        <rFont val="Arial"/>
        <family val="2"/>
      </rPr>
      <t xml:space="preserve">Här matas bränslemängd, körsträcka m.m. in beroende på vad filen används till. För specifika instruktioner, läs mer under fliken.
</t>
    </r>
    <r>
      <rPr>
        <b/>
        <sz val="10"/>
        <color theme="1"/>
        <rFont val="Arial"/>
        <family val="2"/>
      </rPr>
      <t xml:space="preserve">- Summering: </t>
    </r>
    <r>
      <rPr>
        <sz val="10"/>
        <color theme="1"/>
        <rFont val="Arial"/>
        <family val="2"/>
      </rPr>
      <t xml:space="preserve">Data som matas in under fliken "Inmatning" summeras och presenteras under denna flik.
</t>
    </r>
    <r>
      <rPr>
        <b/>
        <sz val="10"/>
        <color theme="1"/>
        <rFont val="Arial"/>
        <family val="2"/>
      </rPr>
      <t xml:space="preserve">- Grafer: </t>
    </r>
    <r>
      <rPr>
        <sz val="10"/>
        <color theme="1"/>
        <rFont val="Arial"/>
        <family val="2"/>
      </rPr>
      <t>Data som matas in under fliken "Inmatning" presenteras i grafer under denna flik. Graferna kan exempelvis ligga till grund för miljömål eller vid leverantörsmöte.
Denna fil är inspirerad från ett verktyg utvecklat av Naturvårdsverket och IVL. Verktyget är därefter bearbetat av Länsstyrelsen Värmland för att ge ett mer riktad verktyg för att förenkla uppföljning av avtal och redovisning av bränsle-, fordon- och transportrelaterad data. Data för beräkningar är taget från Naturvårdsverket, IVL och Energimyndigheten. Viss data saknas (främst relaterat till hybridfordon) vilket beror på att det krävs många antaganden för att ge ett tillförlitligt svar och returnerar därför inget värde.</t>
    </r>
  </si>
  <si>
    <t>Om ni anger flera fordon i kolumnen "Antal fordon" så skriv in den totala bränsleförbrukningen/körsträcka/kostnaden för den raden.</t>
  </si>
  <si>
    <t>CO2 (kg CO2/enhet)</t>
  </si>
  <si>
    <t>GWP (kg CO2e/enhet)</t>
  </si>
  <si>
    <t>Värmevärde (kWh/enhet)</t>
  </si>
  <si>
    <t>Pris (kr/enhet)</t>
  </si>
  <si>
    <t>Moped bensin</t>
  </si>
  <si>
    <t>Bränsle (värde)</t>
  </si>
  <si>
    <t>Bränsle uppdelat</t>
  </si>
  <si>
    <t>Enhet</t>
  </si>
  <si>
    <t>Bränsleslag</t>
  </si>
  <si>
    <t>Beräkningen prioriteras enligt data som matas in enligt: 1. Bränsleförbrukning &gt; 2. Körsträcka &gt; 3. Kostnad. Det innebär att mest exakt svar fås om data för Bränsleförbrukning finns tillgängligt.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</si>
</sst>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6" x14ac:knownFonts="1">
    <font>
      <sz val="11"/>
      <color theme="1"/>
      <name val="Calibri"/>
      <family val="2"/>
      <scheme val="minor"/>
    </font>
    <font>
      <b/>
      <sz val="14"/>
      <name val="Arial"/>
      <family val="2"/>
    </font>
    <font>
      <b/>
      <sz val="10"/>
      <color rgb="FF0070C0"/>
      <name val="Arial"/>
      <family val="2"/>
    </font>
    <font>
      <sz val="12"/>
      <name val="Arial"/>
      <family val="2"/>
    </font>
    <font>
      <i/>
      <sz val="12"/>
      <name val="Arial"/>
      <family val="2"/>
    </font>
    <font>
      <b/>
      <sz val="11"/>
      <color theme="1"/>
      <name val="Calibri"/>
      <family val="2"/>
      <scheme val="minor"/>
    </font>
    <font>
      <b/>
      <sz val="11"/>
      <color theme="1"/>
      <name val="Arial"/>
      <family val="2"/>
    </font>
    <font>
      <b/>
      <sz val="10"/>
      <name val="Arial"/>
      <family val="2"/>
    </font>
    <font>
      <b/>
      <sz val="10"/>
      <color theme="1"/>
      <name val="Arial"/>
      <family val="2"/>
    </font>
    <font>
      <b/>
      <sz val="14"/>
      <color theme="1"/>
      <name val="Arial"/>
      <family val="2"/>
    </font>
    <font>
      <i/>
      <sz val="8"/>
      <name val="Arial"/>
      <family val="2"/>
    </font>
    <font>
      <sz val="11"/>
      <name val="Calibri"/>
      <family val="2"/>
      <scheme val="minor"/>
    </font>
    <font>
      <b/>
      <sz val="10"/>
      <color theme="0"/>
      <name val="Arial"/>
      <family val="2"/>
    </font>
    <font>
      <b/>
      <sz val="10"/>
      <color theme="0" tint="-0.499984740745262"/>
      <name val="Arial"/>
      <family val="2"/>
    </font>
    <font>
      <b/>
      <u/>
      <sz val="12"/>
      <name val="Arial"/>
      <family val="2"/>
    </font>
    <font>
      <i/>
      <sz val="11"/>
      <color theme="1"/>
      <name val="Calibri"/>
      <family val="2"/>
      <scheme val="minor"/>
    </font>
    <font>
      <sz val="10"/>
      <color theme="1"/>
      <name val="Arial"/>
      <family val="2"/>
    </font>
    <font>
      <i/>
      <sz val="10"/>
      <color theme="1"/>
      <name val="Arial"/>
      <family val="2"/>
    </font>
    <font>
      <u/>
      <sz val="11"/>
      <color theme="10"/>
      <name val="Calibri"/>
      <family val="2"/>
      <scheme val="minor"/>
    </font>
    <font>
      <sz val="11"/>
      <color theme="1"/>
      <name val="Calibri"/>
      <family val="2"/>
      <scheme val="minor"/>
    </font>
    <font>
      <sz val="11"/>
      <color theme="1"/>
      <name val="Arial"/>
      <family val="2"/>
    </font>
    <font>
      <sz val="11"/>
      <name val="Arial"/>
      <family val="2"/>
    </font>
    <font>
      <b/>
      <i/>
      <sz val="12"/>
      <name val="Arial"/>
      <family val="2"/>
    </font>
    <font>
      <b/>
      <u/>
      <sz val="12"/>
      <color theme="1"/>
      <name val="Arial"/>
      <family val="2"/>
    </font>
    <font>
      <b/>
      <u/>
      <sz val="22"/>
      <name val="Arial"/>
      <family val="2"/>
    </font>
    <font>
      <b/>
      <sz val="10"/>
      <color rgb="FFFF0000"/>
      <name val="Arial"/>
      <family val="2"/>
    </font>
  </fonts>
  <fills count="14">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CCC"/>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CFCD0"/>
        <bgColor indexed="64"/>
      </patternFill>
    </fill>
    <fill>
      <patternFill patternType="solid">
        <fgColor rgb="FFCCCCFF"/>
        <bgColor indexed="64"/>
      </patternFill>
    </fill>
  </fills>
  <borders count="2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8" fillId="0" borderId="0" applyNumberFormat="0" applyFill="0" applyBorder="0" applyAlignment="0" applyProtection="0"/>
    <xf numFmtId="43" fontId="19" fillId="0" borderId="0" applyFont="0" applyFill="0" applyBorder="0" applyAlignment="0" applyProtection="0"/>
  </cellStyleXfs>
  <cellXfs count="173">
    <xf numFmtId="0" fontId="0" fillId="0" borderId="0" xfId="0"/>
    <xf numFmtId="0" fontId="0" fillId="2" borderId="1" xfId="0" applyFill="1" applyBorder="1"/>
    <xf numFmtId="0" fontId="0" fillId="2" borderId="2" xfId="0" applyFill="1" applyBorder="1"/>
    <xf numFmtId="49" fontId="0" fillId="2" borderId="3" xfId="0" applyNumberFormat="1" applyFill="1" applyBorder="1"/>
    <xf numFmtId="0" fontId="0" fillId="2" borderId="0" xfId="0" applyFill="1"/>
    <xf numFmtId="0" fontId="0" fillId="0" borderId="0" xfId="0" applyAlignment="1">
      <alignment vertical="center"/>
    </xf>
    <xf numFmtId="0" fontId="0" fillId="7" borderId="0" xfId="0" applyFill="1"/>
    <xf numFmtId="0" fontId="0" fillId="7" borderId="4" xfId="0" applyFill="1" applyBorder="1"/>
    <xf numFmtId="0" fontId="0" fillId="7" borderId="0" xfId="0" applyFill="1" applyBorder="1"/>
    <xf numFmtId="0" fontId="6" fillId="4" borderId="6" xfId="0" applyFont="1" applyFill="1" applyBorder="1" applyAlignment="1">
      <alignment vertical="center"/>
    </xf>
    <xf numFmtId="0" fontId="6" fillId="5"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0" fillId="8" borderId="0" xfId="0" applyFill="1"/>
    <xf numFmtId="0" fontId="0" fillId="8" borderId="4" xfId="0" applyFill="1" applyBorder="1"/>
    <xf numFmtId="0" fontId="0" fillId="4" borderId="6" xfId="0" applyFill="1" applyBorder="1" applyAlignment="1">
      <alignment vertical="center"/>
    </xf>
    <xf numFmtId="0" fontId="0" fillId="0" borderId="0" xfId="0" applyAlignment="1">
      <alignment horizontal="center" vertical="center"/>
    </xf>
    <xf numFmtId="0" fontId="0" fillId="0" borderId="0" xfId="0" quotePrefix="1"/>
    <xf numFmtId="0" fontId="0" fillId="0" borderId="0" xfId="0" applyFill="1"/>
    <xf numFmtId="0" fontId="7" fillId="0" borderId="0" xfId="0" applyFont="1" applyAlignment="1">
      <alignment horizontal="right"/>
    </xf>
    <xf numFmtId="0" fontId="0" fillId="0" borderId="0" xfId="0" applyAlignment="1">
      <alignment horizontal="center" vertical="center"/>
    </xf>
    <xf numFmtId="0" fontId="0" fillId="0" borderId="0" xfId="0" applyAlignment="1">
      <alignment horizontal="right"/>
    </xf>
    <xf numFmtId="0" fontId="3" fillId="2" borderId="11" xfId="0" applyFont="1" applyFill="1" applyBorder="1" applyAlignment="1">
      <alignment horizontal="right"/>
    </xf>
    <xf numFmtId="0" fontId="3" fillId="2" borderId="11" xfId="0" applyFont="1" applyFill="1" applyBorder="1" applyAlignment="1">
      <alignment horizontal="center"/>
    </xf>
    <xf numFmtId="0" fontId="0" fillId="2" borderId="11" xfId="0" applyFill="1" applyBorder="1"/>
    <xf numFmtId="0" fontId="0" fillId="2" borderId="10" xfId="0" applyFill="1" applyBorder="1"/>
    <xf numFmtId="0" fontId="0" fillId="0" borderId="6" xfId="0" applyBorder="1"/>
    <xf numFmtId="0" fontId="5" fillId="10" borderId="0" xfId="0" applyFont="1" applyFill="1" applyAlignment="1">
      <alignment horizontal="right"/>
    </xf>
    <xf numFmtId="0" fontId="7" fillId="9" borderId="0" xfId="0" applyFont="1" applyFill="1" applyBorder="1" applyAlignment="1">
      <alignment horizontal="right"/>
    </xf>
    <xf numFmtId="0" fontId="8" fillId="9" borderId="0" xfId="0" applyFont="1" applyFill="1" applyBorder="1" applyAlignment="1">
      <alignment horizontal="right"/>
    </xf>
    <xf numFmtId="164" fontId="0" fillId="0" borderId="6" xfId="0" applyNumberFormat="1" applyBorder="1"/>
    <xf numFmtId="0" fontId="5" fillId="8" borderId="0" xfId="0" applyFont="1" applyFill="1" applyAlignment="1">
      <alignment horizontal="right"/>
    </xf>
    <xf numFmtId="0" fontId="5" fillId="0" borderId="6" xfId="0" applyFont="1" applyBorder="1"/>
    <xf numFmtId="0" fontId="0" fillId="2" borderId="5" xfId="0" applyFill="1" applyBorder="1"/>
    <xf numFmtId="0" fontId="0" fillId="0" borderId="0" xfId="0" applyBorder="1"/>
    <xf numFmtId="0" fontId="0" fillId="2" borderId="12" xfId="0" applyFill="1" applyBorder="1"/>
    <xf numFmtId="0" fontId="0" fillId="2" borderId="13" xfId="0" applyFill="1" applyBorder="1"/>
    <xf numFmtId="49" fontId="3" fillId="2" borderId="0" xfId="0" applyNumberFormat="1" applyFont="1" applyFill="1" applyBorder="1" applyAlignment="1"/>
    <xf numFmtId="49" fontId="10" fillId="2" borderId="0" xfId="0" applyNumberFormat="1" applyFont="1" applyFill="1" applyBorder="1" applyAlignment="1">
      <alignment horizontal="left"/>
    </xf>
    <xf numFmtId="0" fontId="0" fillId="2" borderId="0" xfId="0" applyFill="1" applyBorder="1"/>
    <xf numFmtId="0" fontId="3" fillId="2" borderId="14" xfId="0" applyFont="1" applyFill="1" applyBorder="1" applyAlignment="1">
      <alignment horizontal="right"/>
    </xf>
    <xf numFmtId="0" fontId="6" fillId="4" borderId="15" xfId="0" applyFont="1" applyFill="1" applyBorder="1" applyAlignment="1">
      <alignment vertical="center"/>
    </xf>
    <xf numFmtId="0" fontId="6" fillId="6" borderId="16" xfId="0" applyFont="1" applyFill="1" applyBorder="1" applyAlignment="1">
      <alignment horizontal="center" vertical="center" wrapText="1"/>
    </xf>
    <xf numFmtId="0" fontId="0" fillId="4" borderId="23" xfId="0" applyFill="1" applyBorder="1" applyAlignment="1">
      <alignment vertical="center"/>
    </xf>
    <xf numFmtId="0" fontId="3" fillId="2" borderId="0" xfId="0" applyFont="1" applyFill="1" applyBorder="1" applyAlignment="1">
      <alignment horizontal="right"/>
    </xf>
    <xf numFmtId="0" fontId="3" fillId="2" borderId="0" xfId="0" applyFont="1" applyFill="1" applyBorder="1" applyAlignment="1">
      <alignment horizontal="center"/>
    </xf>
    <xf numFmtId="0" fontId="3" fillId="2" borderId="13" xfId="0" applyFont="1" applyFill="1" applyBorder="1" applyAlignment="1">
      <alignment horizontal="right"/>
    </xf>
    <xf numFmtId="0" fontId="0" fillId="2" borderId="3" xfId="0" applyFill="1" applyBorder="1"/>
    <xf numFmtId="0" fontId="11" fillId="11" borderId="0" xfId="0" applyFont="1" applyFill="1" applyBorder="1"/>
    <xf numFmtId="0" fontId="11" fillId="11" borderId="3" xfId="0" applyFont="1" applyFill="1" applyBorder="1"/>
    <xf numFmtId="0" fontId="11" fillId="11" borderId="13" xfId="0" applyFont="1" applyFill="1" applyBorder="1"/>
    <xf numFmtId="0" fontId="6" fillId="12" borderId="6" xfId="0" applyFont="1" applyFill="1" applyBorder="1" applyAlignment="1">
      <alignment horizontal="center" vertical="center" wrapText="1"/>
    </xf>
    <xf numFmtId="49" fontId="0" fillId="0" borderId="0" xfId="0" applyNumberFormat="1" applyFill="1" applyBorder="1"/>
    <xf numFmtId="0" fontId="0" fillId="2" borderId="13" xfId="0" applyFill="1" applyBorder="1" applyAlignment="1">
      <alignment vertical="top"/>
    </xf>
    <xf numFmtId="0" fontId="0" fillId="2" borderId="0" xfId="0" applyFill="1" applyBorder="1" applyAlignment="1">
      <alignment vertical="top"/>
    </xf>
    <xf numFmtId="0" fontId="0" fillId="2" borderId="3" xfId="0" applyFill="1" applyBorder="1" applyAlignment="1">
      <alignment vertical="top"/>
    </xf>
    <xf numFmtId="0" fontId="0" fillId="2" borderId="14" xfId="0" applyFill="1" applyBorder="1" applyAlignment="1">
      <alignment vertical="top"/>
    </xf>
    <xf numFmtId="0" fontId="0" fillId="2" borderId="11" xfId="0" applyFill="1" applyBorder="1" applyAlignment="1">
      <alignment vertical="top"/>
    </xf>
    <xf numFmtId="0" fontId="15" fillId="2" borderId="0" xfId="0" applyFont="1" applyFill="1" applyBorder="1" applyAlignment="1">
      <alignment horizontal="right" vertical="top"/>
    </xf>
    <xf numFmtId="0" fontId="15" fillId="2" borderId="11" xfId="0" applyFont="1" applyFill="1" applyBorder="1" applyAlignment="1">
      <alignment horizontal="right" vertical="top"/>
    </xf>
    <xf numFmtId="0" fontId="6" fillId="4" borderId="6" xfId="0" applyFont="1" applyFill="1" applyBorder="1" applyAlignment="1">
      <alignment vertical="center" wrapText="1"/>
    </xf>
    <xf numFmtId="14" fontId="0" fillId="2" borderId="0" xfId="0" applyNumberFormat="1" applyFill="1" applyBorder="1" applyAlignment="1">
      <alignment horizontal="left" vertical="top"/>
    </xf>
    <xf numFmtId="0" fontId="18" fillId="2" borderId="11" xfId="1" applyFill="1" applyBorder="1" applyAlignment="1">
      <alignment horizontal="left" vertical="top"/>
    </xf>
    <xf numFmtId="0" fontId="0" fillId="2" borderId="10" xfId="0" applyFill="1" applyBorder="1" applyAlignment="1">
      <alignment horizontal="left" vertical="top"/>
    </xf>
    <xf numFmtId="0" fontId="5" fillId="2" borderId="5" xfId="0" applyFont="1" applyFill="1" applyBorder="1"/>
    <xf numFmtId="49" fontId="20" fillId="2" borderId="3" xfId="0" applyNumberFormat="1" applyFont="1" applyFill="1" applyBorder="1"/>
    <xf numFmtId="0" fontId="20" fillId="2" borderId="3" xfId="0" applyFont="1" applyFill="1" applyBorder="1"/>
    <xf numFmtId="49" fontId="21" fillId="2" borderId="0" xfId="0" applyNumberFormat="1" applyFont="1" applyFill="1" applyBorder="1" applyAlignment="1">
      <alignment horizontal="right"/>
    </xf>
    <xf numFmtId="0" fontId="21" fillId="2" borderId="0" xfId="0" applyFont="1" applyFill="1" applyBorder="1" applyAlignment="1">
      <alignment horizontal="right"/>
    </xf>
    <xf numFmtId="2" fontId="21" fillId="2" borderId="6" xfId="2" applyNumberFormat="1" applyFont="1" applyFill="1" applyBorder="1" applyAlignment="1" applyProtection="1">
      <alignment horizontal="center"/>
      <protection locked="0"/>
    </xf>
    <xf numFmtId="2" fontId="0" fillId="0" borderId="0" xfId="0" applyNumberFormat="1" applyAlignment="1">
      <alignment vertical="center"/>
    </xf>
    <xf numFmtId="49" fontId="22" fillId="2" borderId="0" xfId="0" applyNumberFormat="1" applyFont="1" applyFill="1" applyBorder="1" applyAlignment="1">
      <alignment horizontal="center"/>
    </xf>
    <xf numFmtId="0" fontId="5" fillId="13" borderId="0" xfId="0" applyFont="1" applyFill="1" applyAlignment="1">
      <alignment horizontal="right"/>
    </xf>
    <xf numFmtId="164" fontId="5" fillId="2" borderId="6" xfId="0" applyNumberFormat="1" applyFont="1" applyFill="1" applyBorder="1"/>
    <xf numFmtId="0" fontId="0" fillId="13" borderId="0" xfId="0" applyFont="1" applyFill="1" applyAlignment="1">
      <alignment horizontal="left"/>
    </xf>
    <xf numFmtId="0" fontId="0" fillId="13" borderId="0" xfId="0" applyFill="1" applyAlignment="1">
      <alignment horizontal="left"/>
    </xf>
    <xf numFmtId="2" fontId="5" fillId="2" borderId="6" xfId="0" applyNumberFormat="1" applyFont="1" applyFill="1" applyBorder="1"/>
    <xf numFmtId="0" fontId="0" fillId="8" borderId="0" xfId="0" applyFont="1" applyFill="1" applyAlignment="1">
      <alignment horizontal="right"/>
    </xf>
    <xf numFmtId="2" fontId="0" fillId="13" borderId="0" xfId="0" applyNumberFormat="1" applyFont="1" applyFill="1" applyBorder="1"/>
    <xf numFmtId="0" fontId="0" fillId="8" borderId="0" xfId="0" applyFont="1" applyFill="1" applyBorder="1"/>
    <xf numFmtId="0" fontId="0" fillId="8" borderId="0" xfId="0" applyFill="1" applyBorder="1"/>
    <xf numFmtId="0" fontId="5" fillId="8" borderId="0" xfId="0" applyFont="1" applyFill="1" applyBorder="1"/>
    <xf numFmtId="0" fontId="0" fillId="2" borderId="4" xfId="0" applyFill="1" applyBorder="1"/>
    <xf numFmtId="0" fontId="0" fillId="2" borderId="6" xfId="0" applyFill="1" applyBorder="1" applyAlignment="1" applyProtection="1">
      <alignment vertical="center"/>
      <protection locked="0"/>
    </xf>
    <xf numFmtId="0" fontId="0" fillId="2" borderId="23" xfId="0" applyFill="1" applyBorder="1" applyAlignment="1" applyProtection="1">
      <alignment vertical="center"/>
      <protection locked="0"/>
    </xf>
    <xf numFmtId="0" fontId="0" fillId="2" borderId="1"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49" fontId="3" fillId="2" borderId="0" xfId="0" applyNumberFormat="1" applyFont="1" applyFill="1" applyBorder="1" applyAlignment="1" applyProtection="1">
      <protection locked="0"/>
    </xf>
    <xf numFmtId="49" fontId="3" fillId="2" borderId="0" xfId="0" applyNumberFormat="1" applyFont="1" applyFill="1" applyBorder="1" applyAlignment="1" applyProtection="1">
      <alignment horizontal="right"/>
      <protection locked="0"/>
    </xf>
    <xf numFmtId="49" fontId="10" fillId="2" borderId="0" xfId="0" applyNumberFormat="1" applyFont="1" applyFill="1" applyBorder="1" applyAlignment="1" applyProtection="1">
      <alignment horizontal="left"/>
      <protection locked="0"/>
    </xf>
    <xf numFmtId="0" fontId="3" fillId="2" borderId="11" xfId="0" applyFont="1" applyFill="1" applyBorder="1" applyAlignment="1" applyProtection="1">
      <alignment horizontal="right"/>
      <protection locked="0"/>
    </xf>
    <xf numFmtId="0" fontId="3" fillId="2" borderId="11" xfId="0" applyFont="1" applyFill="1" applyBorder="1" applyAlignment="1" applyProtection="1">
      <alignment horizontal="center"/>
      <protection locked="0"/>
    </xf>
    <xf numFmtId="164" fontId="0" fillId="7" borderId="0" xfId="0" applyNumberFormat="1" applyFill="1"/>
    <xf numFmtId="164" fontId="0" fillId="7" borderId="0" xfId="0" applyNumberFormat="1" applyFill="1" applyBorder="1"/>
    <xf numFmtId="164" fontId="0" fillId="7" borderId="4" xfId="0" applyNumberFormat="1" applyFill="1" applyBorder="1"/>
    <xf numFmtId="164" fontId="0" fillId="8" borderId="0" xfId="0" applyNumberFormat="1" applyFill="1"/>
    <xf numFmtId="164" fontId="0" fillId="8" borderId="4" xfId="0" applyNumberFormat="1" applyFill="1" applyBorder="1"/>
    <xf numFmtId="164" fontId="0" fillId="8" borderId="0" xfId="0" applyNumberFormat="1" applyFill="1" applyBorder="1"/>
    <xf numFmtId="0" fontId="5" fillId="0" borderId="0" xfId="0" applyFont="1"/>
    <xf numFmtId="0" fontId="5" fillId="0" borderId="0" xfId="0" applyFont="1" applyAlignment="1"/>
    <xf numFmtId="0" fontId="16" fillId="8" borderId="13" xfId="0" applyFont="1" applyFill="1" applyBorder="1" applyAlignment="1">
      <alignment horizontal="left" vertical="top" wrapText="1"/>
    </xf>
    <xf numFmtId="0" fontId="16" fillId="8" borderId="0" xfId="0" applyFont="1" applyFill="1" applyBorder="1" applyAlignment="1">
      <alignment horizontal="left" vertical="top" wrapText="1"/>
    </xf>
    <xf numFmtId="0" fontId="16" fillId="8" borderId="3" xfId="0" applyFont="1" applyFill="1" applyBorder="1" applyAlignment="1">
      <alignment horizontal="left" vertical="top" wrapText="1"/>
    </xf>
    <xf numFmtId="0" fontId="14" fillId="8" borderId="12" xfId="0" applyFont="1" applyFill="1" applyBorder="1" applyAlignment="1">
      <alignment horizontal="center" vertical="center"/>
    </xf>
    <xf numFmtId="0" fontId="14" fillId="8" borderId="1" xfId="0" applyFont="1" applyFill="1" applyBorder="1" applyAlignment="1">
      <alignment horizontal="center" vertical="center"/>
    </xf>
    <xf numFmtId="0" fontId="14" fillId="8" borderId="2" xfId="0" applyFont="1" applyFill="1" applyBorder="1" applyAlignment="1">
      <alignment horizontal="center" vertical="center"/>
    </xf>
    <xf numFmtId="0" fontId="7" fillId="11" borderId="13" xfId="0" applyFont="1" applyFill="1" applyBorder="1" applyAlignment="1">
      <alignment horizontal="center" wrapText="1"/>
    </xf>
    <xf numFmtId="0" fontId="7" fillId="11" borderId="0" xfId="0" applyFont="1" applyFill="1" applyBorder="1" applyAlignment="1">
      <alignment horizontal="center" wrapText="1"/>
    </xf>
    <xf numFmtId="0" fontId="7" fillId="11" borderId="3" xfId="0" applyFont="1" applyFill="1" applyBorder="1" applyAlignment="1">
      <alignment horizontal="center" wrapText="1"/>
    </xf>
    <xf numFmtId="0" fontId="24" fillId="11" borderId="12" xfId="0" applyFont="1" applyFill="1" applyBorder="1" applyAlignment="1">
      <alignment horizontal="center"/>
    </xf>
    <xf numFmtId="0" fontId="24" fillId="11" borderId="1" xfId="0" applyFont="1" applyFill="1" applyBorder="1" applyAlignment="1">
      <alignment horizontal="center"/>
    </xf>
    <xf numFmtId="0" fontId="24" fillId="11" borderId="2" xfId="0" applyFont="1" applyFill="1" applyBorder="1" applyAlignment="1">
      <alignment horizontal="center"/>
    </xf>
    <xf numFmtId="0" fontId="7" fillId="11" borderId="13" xfId="0" applyFont="1" applyFill="1" applyBorder="1" applyAlignment="1">
      <alignment horizontal="center"/>
    </xf>
    <xf numFmtId="0" fontId="7" fillId="11" borderId="0" xfId="0" applyFont="1" applyFill="1" applyBorder="1" applyAlignment="1">
      <alignment horizontal="center"/>
    </xf>
    <xf numFmtId="0" fontId="7" fillId="11" borderId="3" xfId="0" applyFont="1" applyFill="1" applyBorder="1" applyAlignment="1">
      <alignment horizontal="center"/>
    </xf>
    <xf numFmtId="0" fontId="7" fillId="11" borderId="14" xfId="0" applyFont="1" applyFill="1" applyBorder="1" applyAlignment="1">
      <alignment horizontal="center"/>
    </xf>
    <xf numFmtId="0" fontId="7" fillId="11" borderId="11" xfId="0" applyFont="1" applyFill="1" applyBorder="1" applyAlignment="1">
      <alignment horizontal="center"/>
    </xf>
    <xf numFmtId="0" fontId="7" fillId="11" borderId="10" xfId="0" applyFont="1" applyFill="1" applyBorder="1" applyAlignment="1">
      <alignment horizontal="center"/>
    </xf>
    <xf numFmtId="49" fontId="3" fillId="2" borderId="0" xfId="0" applyNumberFormat="1" applyFont="1" applyFill="1" applyBorder="1" applyAlignment="1" applyProtection="1">
      <alignment horizontal="right"/>
      <protection locked="0"/>
    </xf>
    <xf numFmtId="164" fontId="5" fillId="12" borderId="7" xfId="0" applyNumberFormat="1" applyFont="1" applyFill="1" applyBorder="1" applyAlignment="1">
      <alignment horizontal="center" vertical="center"/>
    </xf>
    <xf numFmtId="164" fontId="5" fillId="12" borderId="8" xfId="0" applyNumberFormat="1" applyFont="1" applyFill="1" applyBorder="1" applyAlignment="1">
      <alignment horizontal="center" vertical="center"/>
    </xf>
    <xf numFmtId="164" fontId="5" fillId="5" borderId="7" xfId="0" applyNumberFormat="1" applyFont="1" applyFill="1" applyBorder="1" applyAlignment="1">
      <alignment horizontal="center" vertical="center"/>
    </xf>
    <xf numFmtId="164" fontId="5" fillId="5" borderId="8" xfId="0" applyNumberFormat="1" applyFont="1" applyFill="1" applyBorder="1" applyAlignment="1">
      <alignment horizontal="center" vertical="center"/>
    </xf>
    <xf numFmtId="164" fontId="5" fillId="6" borderId="18" xfId="0" applyNumberFormat="1" applyFont="1" applyFill="1" applyBorder="1" applyAlignment="1">
      <alignment horizontal="center" vertical="center"/>
    </xf>
    <xf numFmtId="164" fontId="5" fillId="6" borderId="20" xfId="0" applyNumberFormat="1" applyFont="1"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3" borderId="17"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protection locked="0"/>
    </xf>
    <xf numFmtId="49" fontId="4" fillId="2" borderId="4" xfId="0" applyNumberFormat="1" applyFont="1" applyFill="1" applyBorder="1" applyAlignment="1" applyProtection="1">
      <alignment horizontal="center"/>
      <protection locked="0"/>
    </xf>
    <xf numFmtId="49" fontId="3" fillId="2" borderId="5"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0" fontId="6" fillId="4" borderId="6"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6" xfId="0" applyFont="1" applyFill="1" applyBorder="1" applyAlignment="1">
      <alignment horizontal="left" vertical="center" wrapText="1"/>
    </xf>
    <xf numFmtId="49" fontId="4" fillId="2" borderId="0" xfId="0" applyNumberFormat="1" applyFont="1" applyFill="1" applyBorder="1" applyAlignment="1" applyProtection="1">
      <alignment horizontal="center"/>
      <protection locked="0"/>
    </xf>
    <xf numFmtId="0" fontId="25" fillId="11" borderId="13" xfId="0" applyFont="1" applyFill="1" applyBorder="1" applyAlignment="1">
      <alignment horizontal="center" wrapText="1"/>
    </xf>
    <xf numFmtId="0" fontId="0" fillId="4" borderId="22" xfId="0" applyFill="1" applyBorder="1" applyAlignment="1">
      <alignment horizontal="center" vertical="center"/>
    </xf>
    <xf numFmtId="164" fontId="5" fillId="12" borderId="22" xfId="0" applyNumberFormat="1" applyFont="1" applyFill="1" applyBorder="1" applyAlignment="1">
      <alignment horizontal="center" vertical="center"/>
    </xf>
    <xf numFmtId="164" fontId="5" fillId="5" borderId="22" xfId="0" applyNumberFormat="1" applyFont="1" applyFill="1" applyBorder="1" applyAlignment="1">
      <alignment horizontal="center" vertical="center"/>
    </xf>
    <xf numFmtId="164" fontId="5" fillId="6" borderId="24" xfId="0" applyNumberFormat="1" applyFont="1" applyFill="1" applyBorder="1" applyAlignment="1">
      <alignment horizontal="center" vertical="center"/>
    </xf>
    <xf numFmtId="0" fontId="0" fillId="3"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23" fillId="8" borderId="12" xfId="0" applyFont="1" applyFill="1" applyBorder="1" applyAlignment="1">
      <alignment horizontal="center" vertical="center"/>
    </xf>
    <xf numFmtId="0" fontId="23" fillId="8" borderId="1" xfId="0" applyFont="1" applyFill="1" applyBorder="1" applyAlignment="1">
      <alignment horizontal="center" vertical="center"/>
    </xf>
    <xf numFmtId="0" fontId="23" fillId="8" borderId="2" xfId="0" applyFont="1" applyFill="1" applyBorder="1" applyAlignment="1">
      <alignment horizontal="center" vertical="center"/>
    </xf>
    <xf numFmtId="0" fontId="0" fillId="8" borderId="13" xfId="0" applyFill="1" applyBorder="1" applyAlignment="1">
      <alignment horizontal="left" wrapText="1"/>
    </xf>
    <xf numFmtId="0" fontId="0" fillId="8" borderId="0" xfId="0" applyFill="1" applyBorder="1" applyAlignment="1">
      <alignment horizontal="left" wrapText="1"/>
    </xf>
    <xf numFmtId="0" fontId="0" fillId="8" borderId="3" xfId="0" applyFill="1" applyBorder="1" applyAlignment="1">
      <alignment horizontal="left" wrapText="1"/>
    </xf>
    <xf numFmtId="0" fontId="0" fillId="8" borderId="14" xfId="0" applyFill="1" applyBorder="1" applyAlignment="1">
      <alignment horizontal="left" wrapText="1"/>
    </xf>
    <xf numFmtId="0" fontId="0" fillId="8" borderId="11" xfId="0" applyFill="1" applyBorder="1" applyAlignment="1">
      <alignment horizontal="left" wrapText="1"/>
    </xf>
    <xf numFmtId="0" fontId="0" fillId="8" borderId="10" xfId="0" applyFill="1" applyBorder="1" applyAlignment="1">
      <alignment horizontal="left" wrapText="1"/>
    </xf>
    <xf numFmtId="0" fontId="1" fillId="8" borderId="0" xfId="0" applyFont="1" applyFill="1" applyAlignment="1">
      <alignment horizontal="center" vertical="center"/>
    </xf>
    <xf numFmtId="0" fontId="1" fillId="13" borderId="0" xfId="0" applyFont="1" applyFill="1" applyAlignment="1">
      <alignment horizontal="center" vertical="center"/>
    </xf>
    <xf numFmtId="0" fontId="1" fillId="10" borderId="0" xfId="0" applyFont="1" applyFill="1" applyAlignment="1">
      <alignment horizontal="center" vertical="center"/>
    </xf>
    <xf numFmtId="164" fontId="5" fillId="6" borderId="7" xfId="0" applyNumberFormat="1" applyFont="1" applyFill="1" applyBorder="1" applyAlignment="1">
      <alignment horizontal="center" vertical="center"/>
    </xf>
    <xf numFmtId="164" fontId="5" fillId="6" borderId="8" xfId="0" applyNumberFormat="1" applyFont="1" applyFill="1" applyBorder="1" applyAlignment="1">
      <alignment horizontal="center" vertical="center"/>
    </xf>
    <xf numFmtId="0" fontId="6" fillId="0" borderId="9" xfId="0" applyFont="1" applyBorder="1" applyAlignment="1">
      <alignment horizontal="right" vertical="center"/>
    </xf>
    <xf numFmtId="0" fontId="9" fillId="9" borderId="0" xfId="0" applyFont="1" applyFill="1" applyBorder="1" applyAlignment="1">
      <alignment horizontal="center" vertical="center"/>
    </xf>
    <xf numFmtId="0" fontId="0" fillId="8" borderId="0" xfId="0" applyFill="1" applyBorder="1" applyAlignment="1">
      <alignment horizontal="left"/>
    </xf>
    <xf numFmtId="0" fontId="0" fillId="8" borderId="3" xfId="0" applyFill="1" applyBorder="1" applyAlignment="1">
      <alignment horizontal="left"/>
    </xf>
    <xf numFmtId="0" fontId="0" fillId="8" borderId="13" xfId="0" applyFill="1" applyBorder="1" applyAlignment="1">
      <alignment horizontal="left"/>
    </xf>
    <xf numFmtId="0" fontId="0" fillId="8" borderId="14" xfId="0" applyFill="1" applyBorder="1" applyAlignment="1">
      <alignment horizontal="left"/>
    </xf>
    <xf numFmtId="0" fontId="0" fillId="8" borderId="11" xfId="0" applyFill="1" applyBorder="1" applyAlignment="1">
      <alignment horizontal="left"/>
    </xf>
    <xf numFmtId="0" fontId="0" fillId="8" borderId="10" xfId="0" applyFill="1" applyBorder="1" applyAlignment="1">
      <alignment horizontal="left"/>
    </xf>
    <xf numFmtId="164" fontId="0" fillId="0" borderId="0" xfId="0" applyNumberFormat="1" applyAlignment="1">
      <alignment horizontal="center" vertical="center"/>
    </xf>
    <xf numFmtId="0" fontId="0" fillId="0" borderId="0" xfId="0" applyAlignment="1">
      <alignment horizontal="center" vertical="center"/>
    </xf>
  </cellXfs>
  <cellStyles count="3">
    <cellStyle name="Hyperlänk" xfId="1" builtinId="8"/>
    <cellStyle name="Normal" xfId="0" builtinId="0"/>
    <cellStyle name="Tusental" xfId="2" builtinId="3"/>
  </cellStyles>
  <dxfs count="60">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CC99FF"/>
      <color rgb="FFB79D77"/>
      <color rgb="FFCCCCFF"/>
      <color rgb="FFFCFCD0"/>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Andel förnybara bränslen (energianvändning)</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sv-SE"/>
        </a:p>
      </c:txPr>
    </c:title>
    <c:autoTitleDeleted val="0"/>
    <c:plotArea>
      <c:layout/>
      <c:ofPieChart>
        <c:ofPieType val="pie"/>
        <c:varyColors val="1"/>
        <c:ser>
          <c:idx val="0"/>
          <c:order val="0"/>
          <c:tx>
            <c:v>Andel förnybara bränslen (energianvändning, %)</c:v>
          </c:tx>
          <c:dPt>
            <c:idx val="0"/>
            <c:bubble3D val="0"/>
            <c:spPr>
              <a:solidFill>
                <a:srgbClr val="B79D77"/>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07A9-464D-B93F-19E7322CAF84}"/>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A312-4731-9613-8C0678116152}"/>
              </c:ext>
            </c:extLst>
          </c:dPt>
          <c:dPt>
            <c:idx val="2"/>
            <c:bubble3D val="0"/>
            <c:spPr>
              <a:solidFill>
                <a:schemeClr val="accent1">
                  <a:lumMod val="60000"/>
                  <a:lumOff val="4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07A9-464D-B93F-19E7322CAF84}"/>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A312-4731-9613-8C0678116152}"/>
              </c:ext>
            </c:extLst>
          </c:dPt>
          <c:dPt>
            <c:idx val="4"/>
            <c:bubble3D val="0"/>
            <c:spPr>
              <a:solidFill>
                <a:schemeClr val="accent6">
                  <a:lumMod val="60000"/>
                  <a:lumOff val="4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07A9-464D-B93F-19E7322CAF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v-S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Grafer!$B$12:$B$15</c:f>
              <c:strCache>
                <c:ptCount val="4"/>
                <c:pt idx="0">
                  <c:v>Fossila bränslen</c:v>
                </c:pt>
                <c:pt idx="1">
                  <c:v>Biodiesel (HVO 100%)</c:v>
                </c:pt>
                <c:pt idx="2">
                  <c:v>Biogas</c:v>
                </c:pt>
                <c:pt idx="3">
                  <c:v>El</c:v>
                </c:pt>
              </c:strCache>
            </c:strRef>
          </c:cat>
          <c:val>
            <c:numRef>
              <c:f>Grafer!$C$12:$C$15</c:f>
              <c:numCache>
                <c:formatCode>General</c:formatCode>
                <c:ptCount val="4"/>
                <c:pt idx="0">
                  <c:v>287</c:v>
                </c:pt>
                <c:pt idx="1">
                  <c:v>0</c:v>
                </c:pt>
                <c:pt idx="2">
                  <c:v>198.76923076923077</c:v>
                </c:pt>
                <c:pt idx="3">
                  <c:v>0</c:v>
                </c:pt>
              </c:numCache>
            </c:numRef>
          </c:val>
          <c:extLst>
            <c:ext xmlns:c16="http://schemas.microsoft.com/office/drawing/2014/chart" uri="{C3380CC4-5D6E-409C-BE32-E72D297353CC}">
              <c16:uniqueId val="{00000000-07A9-464D-B93F-19E7322CAF84}"/>
            </c:ext>
          </c:extLst>
        </c:ser>
        <c:dLbls>
          <c:dLblPos val="inEnd"/>
          <c:showLegendKey val="0"/>
          <c:showVal val="0"/>
          <c:showCatName val="0"/>
          <c:showSerName val="0"/>
          <c:showPercent val="1"/>
          <c:showBubbleSize val="0"/>
          <c:showLeaderLines val="1"/>
        </c:dLbls>
        <c:gapWidth val="100"/>
        <c:splitType val="pos"/>
        <c:splitPos val="3"/>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ANDEL FORDON MED FOSSILT DRIVMEDEL</a:t>
            </a:r>
            <a:r>
              <a:rPr lang="en-US" baseline="0"/>
              <a:t> (ANTAL)</a:t>
            </a:r>
            <a:endParaRPr lang="en-US"/>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
          <c:y val="0.24041372553991697"/>
          <c:w val="1"/>
          <c:h val="0.71638549567095422"/>
        </c:manualLayout>
      </c:layout>
      <c:ofPieChart>
        <c:ofPieType val="pie"/>
        <c:varyColors val="1"/>
        <c:ser>
          <c:idx val="0"/>
          <c:order val="0"/>
          <c:dPt>
            <c:idx val="0"/>
            <c:bubble3D val="0"/>
            <c:spPr>
              <a:solidFill>
                <a:schemeClr val="accent6">
                  <a:lumMod val="60000"/>
                  <a:lumOff val="4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E93-4555-92EC-93C1655B26B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BE93-4555-92EC-93C1655B26BB}"/>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BE93-4555-92EC-93C1655B26BB}"/>
              </c:ext>
            </c:extLst>
          </c:dPt>
          <c:dPt>
            <c:idx val="3"/>
            <c:bubble3D val="0"/>
            <c:spPr>
              <a:solidFill>
                <a:schemeClr val="tx1">
                  <a:lumMod val="65000"/>
                  <a:lumOff val="3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BE93-4555-92EC-93C1655B26BB}"/>
              </c:ext>
            </c:extLst>
          </c:dPt>
          <c:dPt>
            <c:idx val="4"/>
            <c:bubble3D val="0"/>
            <c:spPr>
              <a:solidFill>
                <a:schemeClr val="accent1">
                  <a:lumMod val="40000"/>
                  <a:lumOff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BE93-4555-92EC-93C1655B26BB}"/>
              </c:ext>
            </c:extLst>
          </c:dPt>
          <c:dPt>
            <c:idx val="5"/>
            <c:bubble3D val="0"/>
            <c:spPr>
              <a:solidFill>
                <a:srgbClr val="FF7C8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BE93-4555-92EC-93C1655B26BB}"/>
              </c:ext>
            </c:extLst>
          </c:dPt>
          <c:dPt>
            <c:idx val="6"/>
            <c:bubble3D val="0"/>
            <c:spPr>
              <a:solidFill>
                <a:srgbClr val="FFC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BE93-4555-92EC-93C1655B26BB}"/>
              </c:ext>
            </c:extLst>
          </c:dPt>
          <c:dPt>
            <c:idx val="7"/>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BE93-4555-92EC-93C1655B26BB}"/>
              </c:ext>
            </c:extLst>
          </c:dPt>
          <c:dPt>
            <c:idx val="8"/>
            <c:bubble3D val="0"/>
            <c:spPr>
              <a:solidFill>
                <a:srgbClr val="B79D77"/>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BE93-4555-92EC-93C1655B26BB}"/>
              </c:ext>
            </c:extLst>
          </c:dPt>
          <c:dPt>
            <c:idx val="9"/>
            <c:bubble3D val="0"/>
            <c:spPr>
              <a:solidFill>
                <a:srgbClr val="B79D77"/>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BE93-4555-92EC-93C1655B26B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v-S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Grafer!$E$30:$E$37</c:f>
              <c:strCache>
                <c:ptCount val="8"/>
                <c:pt idx="0">
                  <c:v>Förnybart drivna fordon</c:v>
                </c:pt>
                <c:pt idx="1">
                  <c:v>Personbil</c:v>
                </c:pt>
                <c:pt idx="2">
                  <c:v>Lätt lastbil</c:v>
                </c:pt>
                <c:pt idx="3">
                  <c:v>Tung lastbil</c:v>
                </c:pt>
                <c:pt idx="4">
                  <c:v>Cykel</c:v>
                </c:pt>
                <c:pt idx="5">
                  <c:v>Tvåhjuligt (motor)</c:v>
                </c:pt>
                <c:pt idx="6">
                  <c:v>Spårtrafik</c:v>
                </c:pt>
                <c:pt idx="7">
                  <c:v>Buss</c:v>
                </c:pt>
              </c:strCache>
            </c:strRef>
          </c:cat>
          <c:val>
            <c:numRef>
              <c:f>Grafer!$F$30:$F$37</c:f>
              <c:numCache>
                <c:formatCode>General</c:formatCode>
                <c:ptCount val="8"/>
                <c:pt idx="0">
                  <c:v>1</c:v>
                </c:pt>
                <c:pt idx="1">
                  <c:v>2</c:v>
                </c:pt>
                <c:pt idx="2">
                  <c:v>1</c:v>
                </c:pt>
                <c:pt idx="3">
                  <c:v>0</c:v>
                </c:pt>
                <c:pt idx="4">
                  <c:v>0</c:v>
                </c:pt>
                <c:pt idx="5">
                  <c:v>0</c:v>
                </c:pt>
                <c:pt idx="6">
                  <c:v>0</c:v>
                </c:pt>
                <c:pt idx="7">
                  <c:v>0</c:v>
                </c:pt>
              </c:numCache>
            </c:numRef>
          </c:val>
          <c:extLst>
            <c:ext xmlns:c16="http://schemas.microsoft.com/office/drawing/2014/chart" uri="{C3380CC4-5D6E-409C-BE32-E72D297353CC}">
              <c16:uniqueId val="{00000014-BE93-4555-92EC-93C1655B26BB}"/>
            </c:ext>
          </c:extLst>
        </c:ser>
        <c:dLbls>
          <c:dLblPos val="inEnd"/>
          <c:showLegendKey val="0"/>
          <c:showVal val="0"/>
          <c:showCatName val="0"/>
          <c:showSerName val="0"/>
          <c:showPercent val="1"/>
          <c:showBubbleSize val="0"/>
          <c:showLeaderLines val="1"/>
        </c:dLbls>
        <c:gapWidth val="100"/>
        <c:splitType val="pos"/>
        <c:splitPos val="7"/>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t"/>
      <c:layout>
        <c:manualLayout>
          <c:xMode val="edge"/>
          <c:yMode val="edge"/>
          <c:x val="4.9970845481049554E-2"/>
          <c:y val="0.12602845375846775"/>
          <c:w val="0.93914156138645932"/>
          <c:h val="7.903918004488921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ANDEL FORDON</a:t>
            </a:r>
            <a:r>
              <a:rPr lang="en-US" baseline="0"/>
              <a:t> MED FÖRNYBART DRIVMEDEL (ANTAL)</a:t>
            </a:r>
            <a:endParaRPr lang="en-US"/>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sv-SE"/>
        </a:p>
      </c:txPr>
    </c:title>
    <c:autoTitleDeleted val="0"/>
    <c:plotArea>
      <c:layout/>
      <c:ofPieChart>
        <c:ofPieType val="pie"/>
        <c:varyColors val="1"/>
        <c:ser>
          <c:idx val="0"/>
          <c:order val="0"/>
          <c:dPt>
            <c:idx val="0"/>
            <c:bubble3D val="0"/>
            <c:spPr>
              <a:solidFill>
                <a:srgbClr val="B79D77"/>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DD7D-41DF-8159-5FC7AF8EBAB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DD7D-41DF-8159-5FC7AF8EBAB9}"/>
              </c:ext>
            </c:extLst>
          </c:dPt>
          <c:dPt>
            <c:idx val="2"/>
            <c:bubble3D val="0"/>
            <c:spPr>
              <a:solidFill>
                <a:schemeClr val="bg2">
                  <a:lumMod val="7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DD7D-41DF-8159-5FC7AF8EBAB9}"/>
              </c:ext>
            </c:extLst>
          </c:dPt>
          <c:dPt>
            <c:idx val="3"/>
            <c:bubble3D val="0"/>
            <c:spPr>
              <a:solidFill>
                <a:schemeClr val="tx1">
                  <a:lumMod val="65000"/>
                  <a:lumOff val="3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DD7D-41DF-8159-5FC7AF8EBAB9}"/>
              </c:ext>
            </c:extLst>
          </c:dPt>
          <c:dPt>
            <c:idx val="4"/>
            <c:bubble3D val="0"/>
            <c:spPr>
              <a:solidFill>
                <a:schemeClr val="accent5">
                  <a:lumMod val="60000"/>
                  <a:lumOff val="4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DD7D-41DF-8159-5FC7AF8EBAB9}"/>
              </c:ext>
            </c:extLst>
          </c:dPt>
          <c:dPt>
            <c:idx val="5"/>
            <c:bubble3D val="0"/>
            <c:spPr>
              <a:solidFill>
                <a:srgbClr val="FF7C8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DD7D-41DF-8159-5FC7AF8EBAB9}"/>
              </c:ext>
            </c:extLst>
          </c:dPt>
          <c:dPt>
            <c:idx val="6"/>
            <c:bubble3D val="0"/>
            <c:spPr>
              <a:solidFill>
                <a:srgbClr val="FFC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DD7D-41DF-8159-5FC7AF8EBAB9}"/>
              </c:ext>
            </c:extLst>
          </c:dPt>
          <c:dPt>
            <c:idx val="7"/>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DD7D-41DF-8159-5FC7AF8EBAB9}"/>
              </c:ext>
            </c:extLst>
          </c:dPt>
          <c:dPt>
            <c:idx val="8"/>
            <c:bubble3D val="0"/>
            <c:spPr>
              <a:solidFill>
                <a:schemeClr val="accent6">
                  <a:lumMod val="60000"/>
                  <a:lumOff val="4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DD7D-41DF-8159-5FC7AF8EBAB9}"/>
              </c:ext>
            </c:extLst>
          </c:dPt>
          <c:dPt>
            <c:idx val="9"/>
            <c:bubble3D val="0"/>
            <c:spPr>
              <a:solidFill>
                <a:schemeClr val="accent6">
                  <a:lumMod val="60000"/>
                  <a:lumOff val="4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DD7D-41DF-8159-5FC7AF8EBAB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v-S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Grafer!$B$30:$B$37</c:f>
              <c:strCache>
                <c:ptCount val="8"/>
                <c:pt idx="0">
                  <c:v>Fossilt drivna fordon</c:v>
                </c:pt>
                <c:pt idx="1">
                  <c:v>Personbil</c:v>
                </c:pt>
                <c:pt idx="2">
                  <c:v>Lätt lastbil</c:v>
                </c:pt>
                <c:pt idx="3">
                  <c:v>Tung lastbil</c:v>
                </c:pt>
                <c:pt idx="4">
                  <c:v>Cykel</c:v>
                </c:pt>
                <c:pt idx="5">
                  <c:v>Tvåhjuligt (motor)</c:v>
                </c:pt>
                <c:pt idx="6">
                  <c:v>Spårtrafik</c:v>
                </c:pt>
                <c:pt idx="7">
                  <c:v>Buss</c:v>
                </c:pt>
              </c:strCache>
            </c:strRef>
          </c:cat>
          <c:val>
            <c:numRef>
              <c:f>Grafer!$C$30:$C$37</c:f>
              <c:numCache>
                <c:formatCode>General</c:formatCode>
                <c:ptCount val="8"/>
                <c:pt idx="0">
                  <c:v>3</c:v>
                </c:pt>
                <c:pt idx="1">
                  <c:v>1</c:v>
                </c:pt>
                <c:pt idx="2">
                  <c:v>0</c:v>
                </c:pt>
                <c:pt idx="3">
                  <c:v>0</c:v>
                </c:pt>
                <c:pt idx="4">
                  <c:v>0</c:v>
                </c:pt>
                <c:pt idx="5">
                  <c:v>0</c:v>
                </c:pt>
                <c:pt idx="6">
                  <c:v>0</c:v>
                </c:pt>
                <c:pt idx="7">
                  <c:v>0</c:v>
                </c:pt>
              </c:numCache>
            </c:numRef>
          </c:val>
          <c:extLst>
            <c:ext xmlns:c15="http://schemas.microsoft.com/office/drawing/2012/chart" uri="{02D57815-91ED-43cb-92C2-25804820EDAC}">
              <c15:filteredSeriesTitle>
                <c15:tx>
                  <c:v>Andel förnybara bränslen (energianvändning, %)</c:v>
                </c15:tx>
              </c15:filteredSeriesTitle>
            </c:ext>
            <c:ext xmlns:c16="http://schemas.microsoft.com/office/drawing/2014/chart" uri="{C3380CC4-5D6E-409C-BE32-E72D297353CC}">
              <c16:uniqueId val="{00000014-DD7D-41DF-8159-5FC7AF8EBAB9}"/>
            </c:ext>
          </c:extLst>
        </c:ser>
        <c:dLbls>
          <c:dLblPos val="inEnd"/>
          <c:showLegendKey val="0"/>
          <c:showVal val="0"/>
          <c:showCatName val="0"/>
          <c:showSerName val="0"/>
          <c:showPercent val="1"/>
          <c:showBubbleSize val="0"/>
          <c:showLeaderLines val="1"/>
        </c:dLbls>
        <c:gapWidth val="100"/>
        <c:splitType val="pos"/>
        <c:splitPos val="7"/>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ANDEL KLIMATPÅVERKAN FRÅN</a:t>
            </a:r>
            <a:r>
              <a:rPr lang="en-US" baseline="0"/>
              <a:t> BRÄNSLEN</a:t>
            </a:r>
            <a:r>
              <a:rPr lang="en-US"/>
              <a:t> (CO2-ekv)</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tx>
            <c:v>Fördelning av klimatpåverkan, bränslen (CO2-ekv)</c:v>
          </c:tx>
          <c:dPt>
            <c:idx val="0"/>
            <c:bubble3D val="0"/>
            <c:spPr>
              <a:solidFill>
                <a:schemeClr val="bg2">
                  <a:lumMod val="7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FF12-4EC0-85A9-6E944874E80F}"/>
              </c:ext>
            </c:extLst>
          </c:dPt>
          <c:dPt>
            <c:idx val="1"/>
            <c:bubble3D val="0"/>
            <c:spPr>
              <a:solidFill>
                <a:srgbClr val="B79D77"/>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FF12-4EC0-85A9-6E944874E80F}"/>
              </c:ext>
            </c:extLst>
          </c:dPt>
          <c:dPt>
            <c:idx val="2"/>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FF12-4EC0-85A9-6E944874E80F}"/>
              </c:ext>
            </c:extLst>
          </c:dPt>
          <c:dPt>
            <c:idx val="3"/>
            <c:bubble3D val="0"/>
            <c:spPr>
              <a:solidFill>
                <a:srgbClr val="FF7C8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FF12-4EC0-85A9-6E944874E80F}"/>
              </c:ext>
            </c:extLst>
          </c:dPt>
          <c:dPt>
            <c:idx val="4"/>
            <c:bubble3D val="0"/>
            <c:spPr>
              <a:solidFill>
                <a:srgbClr val="CC99FF"/>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FF12-4EC0-85A9-6E944874E80F}"/>
              </c:ext>
            </c:extLst>
          </c:dPt>
          <c:dPt>
            <c:idx val="5"/>
            <c:bubble3D val="0"/>
            <c:spPr>
              <a:solidFill>
                <a:schemeClr val="accent1">
                  <a:lumMod val="60000"/>
                  <a:lumOff val="4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C-FF12-4EC0-85A9-6E944874E80F}"/>
              </c:ext>
            </c:extLst>
          </c:dPt>
          <c:dPt>
            <c:idx val="6"/>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FF12-4EC0-85A9-6E944874E8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v-S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Grafer!$J$12:$J$18</c:f>
              <c:strCache>
                <c:ptCount val="7"/>
                <c:pt idx="0">
                  <c:v>Bensin</c:v>
                </c:pt>
                <c:pt idx="1">
                  <c:v>Diesel</c:v>
                </c:pt>
                <c:pt idx="2">
                  <c:v>Biodiesel (HVO 100%)</c:v>
                </c:pt>
                <c:pt idx="3">
                  <c:v>Etanol (E85)</c:v>
                </c:pt>
                <c:pt idx="4">
                  <c:v>Fordonsgas (blandning)</c:v>
                </c:pt>
                <c:pt idx="5">
                  <c:v>Biogas</c:v>
                </c:pt>
                <c:pt idx="6">
                  <c:v>El</c:v>
                </c:pt>
              </c:strCache>
            </c:strRef>
          </c:cat>
          <c:val>
            <c:numRef>
              <c:f>Grafer!$K$12:$K$18</c:f>
              <c:numCache>
                <c:formatCode>General</c:formatCode>
                <c:ptCount val="7"/>
                <c:pt idx="0">
                  <c:v>27.00399130289108</c:v>
                </c:pt>
                <c:pt idx="1">
                  <c:v>52.031602841746583</c:v>
                </c:pt>
                <c:pt idx="2">
                  <c:v>0</c:v>
                </c:pt>
                <c:pt idx="3">
                  <c:v>0</c:v>
                </c:pt>
                <c:pt idx="4">
                  <c:v>0</c:v>
                </c:pt>
                <c:pt idx="5">
                  <c:v>12.449233991654193</c:v>
                </c:pt>
                <c:pt idx="6">
                  <c:v>0</c:v>
                </c:pt>
              </c:numCache>
            </c:numRef>
          </c:val>
          <c:extLst>
            <c:ext xmlns:c16="http://schemas.microsoft.com/office/drawing/2014/chart" uri="{C3380CC4-5D6E-409C-BE32-E72D297353CC}">
              <c16:uniqueId val="{0000000A-FF12-4EC0-85A9-6E944874E80F}"/>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19</xdr:row>
      <xdr:rowOff>30480</xdr:rowOff>
    </xdr:from>
    <xdr:to>
      <xdr:col>3</xdr:col>
      <xdr:colOff>266065</xdr:colOff>
      <xdr:row>22</xdr:row>
      <xdr:rowOff>143510</xdr:rowOff>
    </xdr:to>
    <xdr:pic>
      <xdr:nvPicPr>
        <xdr:cNvPr id="4" name="Bildobjekt 3">
          <a:extLst>
            <a:ext uri="{FF2B5EF4-FFF2-40B4-BE49-F238E27FC236}">
              <a16:creationId xmlns:a16="http://schemas.microsoft.com/office/drawing/2014/main" id="{E5A55092-46CC-4073-8FDB-69F32264ACBC}"/>
            </a:ext>
          </a:extLst>
        </xdr:cNvPr>
        <xdr:cNvPicPr/>
      </xdr:nvPicPr>
      <xdr:blipFill>
        <a:blip xmlns:r="http://schemas.openxmlformats.org/officeDocument/2006/relationships" r:embed="rId1"/>
        <a:stretch>
          <a:fillRect/>
        </a:stretch>
      </xdr:blipFill>
      <xdr:spPr>
        <a:xfrm>
          <a:off x="7620" y="3314700"/>
          <a:ext cx="1477645" cy="6616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10</xdr:row>
      <xdr:rowOff>14286</xdr:rowOff>
    </xdr:from>
    <xdr:to>
      <xdr:col>8</xdr:col>
      <xdr:colOff>1</xdr:colOff>
      <xdr:row>26</xdr:row>
      <xdr:rowOff>190499</xdr:rowOff>
    </xdr:to>
    <xdr:graphicFrame macro="">
      <xdr:nvGraphicFramePr>
        <xdr:cNvPr id="2" name="Diagram 1">
          <a:extLst>
            <a:ext uri="{FF2B5EF4-FFF2-40B4-BE49-F238E27FC236}">
              <a16:creationId xmlns:a16="http://schemas.microsoft.com/office/drawing/2014/main" id="{A5C7EF1D-BAC0-4CD5-AA0D-B1EAC7B87A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28</xdr:row>
      <xdr:rowOff>1</xdr:rowOff>
    </xdr:from>
    <xdr:to>
      <xdr:col>18</xdr:col>
      <xdr:colOff>78000</xdr:colOff>
      <xdr:row>45</xdr:row>
      <xdr:rowOff>1</xdr:rowOff>
    </xdr:to>
    <xdr:graphicFrame macro="">
      <xdr:nvGraphicFramePr>
        <xdr:cNvPr id="5" name="Diagram 4">
          <a:extLst>
            <a:ext uri="{FF2B5EF4-FFF2-40B4-BE49-F238E27FC236}">
              <a16:creationId xmlns:a16="http://schemas.microsoft.com/office/drawing/2014/main" id="{1B55A2D8-ECB9-42A6-BF68-4FA512E24F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28</xdr:row>
      <xdr:rowOff>0</xdr:rowOff>
    </xdr:from>
    <xdr:to>
      <xdr:col>8</xdr:col>
      <xdr:colOff>0</xdr:colOff>
      <xdr:row>44</xdr:row>
      <xdr:rowOff>185738</xdr:rowOff>
    </xdr:to>
    <xdr:graphicFrame macro="">
      <xdr:nvGraphicFramePr>
        <xdr:cNvPr id="8" name="Diagram 7">
          <a:extLst>
            <a:ext uri="{FF2B5EF4-FFF2-40B4-BE49-F238E27FC236}">
              <a16:creationId xmlns:a16="http://schemas.microsoft.com/office/drawing/2014/main" id="{7A850159-4D76-44D7-BC4F-E5C6B2827A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28575</xdr:colOff>
      <xdr:row>10</xdr:row>
      <xdr:rowOff>38100</xdr:rowOff>
    </xdr:from>
    <xdr:to>
      <xdr:col>18</xdr:col>
      <xdr:colOff>104775</xdr:colOff>
      <xdr:row>26</xdr:row>
      <xdr:rowOff>185738</xdr:rowOff>
    </xdr:to>
    <xdr:graphicFrame macro="">
      <xdr:nvGraphicFramePr>
        <xdr:cNvPr id="6" name="Diagram 5">
          <a:extLst>
            <a:ext uri="{FF2B5EF4-FFF2-40B4-BE49-F238E27FC236}">
              <a16:creationId xmlns:a16="http://schemas.microsoft.com/office/drawing/2014/main" id="{82BA6986-B87C-47EB-9A4C-B09932F927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ustav.green@lansstyrelsen.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EC2B2-BFEB-4768-80F1-BC0E4E39DFE1}">
  <sheetPr>
    <tabColor theme="8" tint="0.59999389629810485"/>
  </sheetPr>
  <dimension ref="B1:L23"/>
  <sheetViews>
    <sheetView tabSelected="1" workbookViewId="0"/>
  </sheetViews>
  <sheetFormatPr defaultRowHeight="15" x14ac:dyDescent="0.25"/>
  <cols>
    <col min="10" max="11" width="10.28515625" customWidth="1"/>
  </cols>
  <sheetData>
    <row r="1" spans="2:12" ht="15.75" thickBot="1" x14ac:dyDescent="0.3"/>
    <row r="2" spans="2:12" ht="28.15" customHeight="1" x14ac:dyDescent="0.25">
      <c r="B2" s="103" t="s">
        <v>89</v>
      </c>
      <c r="C2" s="104"/>
      <c r="D2" s="104"/>
      <c r="E2" s="104"/>
      <c r="F2" s="104"/>
      <c r="G2" s="104"/>
      <c r="H2" s="104"/>
      <c r="I2" s="104"/>
      <c r="J2" s="104"/>
      <c r="K2" s="104"/>
      <c r="L2" s="105"/>
    </row>
    <row r="3" spans="2:12" x14ac:dyDescent="0.25">
      <c r="B3" s="100" t="s">
        <v>127</v>
      </c>
      <c r="C3" s="101"/>
      <c r="D3" s="101"/>
      <c r="E3" s="101"/>
      <c r="F3" s="101"/>
      <c r="G3" s="101"/>
      <c r="H3" s="101"/>
      <c r="I3" s="101"/>
      <c r="J3" s="101"/>
      <c r="K3" s="101"/>
      <c r="L3" s="102"/>
    </row>
    <row r="4" spans="2:12" x14ac:dyDescent="0.25">
      <c r="B4" s="100"/>
      <c r="C4" s="101"/>
      <c r="D4" s="101"/>
      <c r="E4" s="101"/>
      <c r="F4" s="101"/>
      <c r="G4" s="101"/>
      <c r="H4" s="101"/>
      <c r="I4" s="101"/>
      <c r="J4" s="101"/>
      <c r="K4" s="101"/>
      <c r="L4" s="102"/>
    </row>
    <row r="5" spans="2:12" x14ac:dyDescent="0.25">
      <c r="B5" s="100"/>
      <c r="C5" s="101"/>
      <c r="D5" s="101"/>
      <c r="E5" s="101"/>
      <c r="F5" s="101"/>
      <c r="G5" s="101"/>
      <c r="H5" s="101"/>
      <c r="I5" s="101"/>
      <c r="J5" s="101"/>
      <c r="K5" s="101"/>
      <c r="L5" s="102"/>
    </row>
    <row r="6" spans="2:12" x14ac:dyDescent="0.25">
      <c r="B6" s="100"/>
      <c r="C6" s="101"/>
      <c r="D6" s="101"/>
      <c r="E6" s="101"/>
      <c r="F6" s="101"/>
      <c r="G6" s="101"/>
      <c r="H6" s="101"/>
      <c r="I6" s="101"/>
      <c r="J6" s="101"/>
      <c r="K6" s="101"/>
      <c r="L6" s="102"/>
    </row>
    <row r="7" spans="2:12" x14ac:dyDescent="0.25">
      <c r="B7" s="100"/>
      <c r="C7" s="101"/>
      <c r="D7" s="101"/>
      <c r="E7" s="101"/>
      <c r="F7" s="101"/>
      <c r="G7" s="101"/>
      <c r="H7" s="101"/>
      <c r="I7" s="101"/>
      <c r="J7" s="101"/>
      <c r="K7" s="101"/>
      <c r="L7" s="102"/>
    </row>
    <row r="8" spans="2:12" x14ac:dyDescent="0.25">
      <c r="B8" s="100"/>
      <c r="C8" s="101"/>
      <c r="D8" s="101"/>
      <c r="E8" s="101"/>
      <c r="F8" s="101"/>
      <c r="G8" s="101"/>
      <c r="H8" s="101"/>
      <c r="I8" s="101"/>
      <c r="J8" s="101"/>
      <c r="K8" s="101"/>
      <c r="L8" s="102"/>
    </row>
    <row r="9" spans="2:12" x14ac:dyDescent="0.25">
      <c r="B9" s="100"/>
      <c r="C9" s="101"/>
      <c r="D9" s="101"/>
      <c r="E9" s="101"/>
      <c r="F9" s="101"/>
      <c r="G9" s="101"/>
      <c r="H9" s="101"/>
      <c r="I9" s="101"/>
      <c r="J9" s="101"/>
      <c r="K9" s="101"/>
      <c r="L9" s="102"/>
    </row>
    <row r="10" spans="2:12" x14ac:dyDescent="0.25">
      <c r="B10" s="100"/>
      <c r="C10" s="101"/>
      <c r="D10" s="101"/>
      <c r="E10" s="101"/>
      <c r="F10" s="101"/>
      <c r="G10" s="101"/>
      <c r="H10" s="101"/>
      <c r="I10" s="101"/>
      <c r="J10" s="101"/>
      <c r="K10" s="101"/>
      <c r="L10" s="102"/>
    </row>
    <row r="11" spans="2:12" x14ac:dyDescent="0.25">
      <c r="B11" s="100"/>
      <c r="C11" s="101"/>
      <c r="D11" s="101"/>
      <c r="E11" s="101"/>
      <c r="F11" s="101"/>
      <c r="G11" s="101"/>
      <c r="H11" s="101"/>
      <c r="I11" s="101"/>
      <c r="J11" s="101"/>
      <c r="K11" s="101"/>
      <c r="L11" s="102"/>
    </row>
    <row r="12" spans="2:12" x14ac:dyDescent="0.25">
      <c r="B12" s="100"/>
      <c r="C12" s="101"/>
      <c r="D12" s="101"/>
      <c r="E12" s="101"/>
      <c r="F12" s="101"/>
      <c r="G12" s="101"/>
      <c r="H12" s="101"/>
      <c r="I12" s="101"/>
      <c r="J12" s="101"/>
      <c r="K12" s="101"/>
      <c r="L12" s="102"/>
    </row>
    <row r="13" spans="2:12" x14ac:dyDescent="0.25">
      <c r="B13" s="100"/>
      <c r="C13" s="101"/>
      <c r="D13" s="101"/>
      <c r="E13" s="101"/>
      <c r="F13" s="101"/>
      <c r="G13" s="101"/>
      <c r="H13" s="101"/>
      <c r="I13" s="101"/>
      <c r="J13" s="101"/>
      <c r="K13" s="101"/>
      <c r="L13" s="102"/>
    </row>
    <row r="14" spans="2:12" x14ac:dyDescent="0.25">
      <c r="B14" s="100"/>
      <c r="C14" s="101"/>
      <c r="D14" s="101"/>
      <c r="E14" s="101"/>
      <c r="F14" s="101"/>
      <c r="G14" s="101"/>
      <c r="H14" s="101"/>
      <c r="I14" s="101"/>
      <c r="J14" s="101"/>
      <c r="K14" s="101"/>
      <c r="L14" s="102"/>
    </row>
    <row r="15" spans="2:12" x14ac:dyDescent="0.25">
      <c r="B15" s="100"/>
      <c r="C15" s="101"/>
      <c r="D15" s="101"/>
      <c r="E15" s="101"/>
      <c r="F15" s="101"/>
      <c r="G15" s="101"/>
      <c r="H15" s="101"/>
      <c r="I15" s="101"/>
      <c r="J15" s="101"/>
      <c r="K15" s="101"/>
      <c r="L15" s="102"/>
    </row>
    <row r="16" spans="2:12" x14ac:dyDescent="0.25">
      <c r="B16" s="100"/>
      <c r="C16" s="101"/>
      <c r="D16" s="101"/>
      <c r="E16" s="101"/>
      <c r="F16" s="101"/>
      <c r="G16" s="101"/>
      <c r="H16" s="101"/>
      <c r="I16" s="101"/>
      <c r="J16" s="101"/>
      <c r="K16" s="101"/>
      <c r="L16" s="102"/>
    </row>
    <row r="17" spans="2:12" x14ac:dyDescent="0.25">
      <c r="B17" s="100"/>
      <c r="C17" s="101"/>
      <c r="D17" s="101"/>
      <c r="E17" s="101"/>
      <c r="F17" s="101"/>
      <c r="G17" s="101"/>
      <c r="H17" s="101"/>
      <c r="I17" s="101"/>
      <c r="J17" s="101"/>
      <c r="K17" s="101"/>
      <c r="L17" s="102"/>
    </row>
    <row r="18" spans="2:12" x14ac:dyDescent="0.25">
      <c r="B18" s="100"/>
      <c r="C18" s="101"/>
      <c r="D18" s="101"/>
      <c r="E18" s="101"/>
      <c r="F18" s="101"/>
      <c r="G18" s="101"/>
      <c r="H18" s="101"/>
      <c r="I18" s="101"/>
      <c r="J18" s="101"/>
      <c r="K18" s="101"/>
      <c r="L18" s="102"/>
    </row>
    <row r="19" spans="2:12" x14ac:dyDescent="0.25">
      <c r="B19" s="100"/>
      <c r="C19" s="101"/>
      <c r="D19" s="101"/>
      <c r="E19" s="101"/>
      <c r="F19" s="101"/>
      <c r="G19" s="101"/>
      <c r="H19" s="101"/>
      <c r="I19" s="101"/>
      <c r="J19" s="101"/>
      <c r="K19" s="101"/>
      <c r="L19" s="102"/>
    </row>
    <row r="20" spans="2:12" x14ac:dyDescent="0.25">
      <c r="B20" s="52"/>
      <c r="C20" s="53"/>
      <c r="D20" s="53"/>
      <c r="E20" s="53"/>
      <c r="F20" s="53"/>
      <c r="G20" s="53"/>
      <c r="H20" s="53"/>
      <c r="I20" s="53"/>
      <c r="J20" s="53"/>
      <c r="K20" s="53"/>
      <c r="L20" s="54"/>
    </row>
    <row r="21" spans="2:12" x14ac:dyDescent="0.25">
      <c r="B21" s="52"/>
      <c r="C21" s="53"/>
      <c r="D21" s="53"/>
      <c r="E21" s="53"/>
      <c r="F21" s="53"/>
      <c r="G21" s="53"/>
      <c r="H21" s="53"/>
      <c r="I21" s="57" t="s">
        <v>91</v>
      </c>
      <c r="J21" s="60">
        <v>44055</v>
      </c>
      <c r="K21" s="60"/>
      <c r="L21" s="46"/>
    </row>
    <row r="22" spans="2:12" x14ac:dyDescent="0.25">
      <c r="B22" s="52"/>
      <c r="C22" s="53"/>
      <c r="D22" s="53"/>
      <c r="E22" s="53"/>
      <c r="F22" s="53"/>
      <c r="G22" s="53"/>
      <c r="H22" s="53"/>
      <c r="I22" s="57" t="s">
        <v>93</v>
      </c>
      <c r="J22" s="60" t="s">
        <v>92</v>
      </c>
      <c r="K22" s="60"/>
      <c r="L22" s="46"/>
    </row>
    <row r="23" spans="2:12" ht="15.75" thickBot="1" x14ac:dyDescent="0.3">
      <c r="B23" s="55"/>
      <c r="C23" s="56"/>
      <c r="D23" s="56"/>
      <c r="E23" s="56"/>
      <c r="F23" s="56"/>
      <c r="G23" s="56"/>
      <c r="H23" s="56"/>
      <c r="I23" s="58" t="s">
        <v>90</v>
      </c>
      <c r="J23" s="61" t="s">
        <v>96</v>
      </c>
      <c r="K23" s="62"/>
      <c r="L23" s="24"/>
    </row>
  </sheetData>
  <sheetProtection algorithmName="SHA-512" hashValue="9/dPTM74lud5nVZwFQovg5MgtED3t+mVFLFwT2WXjKBui2VfjMMSWk87GSZJpEgWnLQqZupCTIo4HM5KXu0iSw==" saltValue="Npx9bKmdb7n1uFIElaaqww==" spinCount="100000" sheet="1" objects="1" scenarios="1"/>
  <mergeCells count="2">
    <mergeCell ref="B3:L19"/>
    <mergeCell ref="B2:L2"/>
  </mergeCells>
  <hyperlinks>
    <hyperlink ref="J23" r:id="rId1" xr:uid="{E58751D2-1E9D-411E-B726-7B03A529C2EB}"/>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7E540-74ED-4D80-9179-27CEB28DE2D5}">
  <sheetPr>
    <tabColor theme="0"/>
  </sheetPr>
  <dimension ref="B1:P40"/>
  <sheetViews>
    <sheetView workbookViewId="0"/>
  </sheetViews>
  <sheetFormatPr defaultRowHeight="15" x14ac:dyDescent="0.25"/>
  <cols>
    <col min="2" max="2" width="28.5703125" bestFit="1" customWidth="1"/>
    <col min="3" max="3" width="7.7109375" bestFit="1" customWidth="1"/>
    <col min="4" max="4" width="26.140625" bestFit="1" customWidth="1"/>
    <col min="5" max="5" width="22.140625" bestFit="1" customWidth="1"/>
    <col min="6" max="6" width="13.85546875" customWidth="1"/>
    <col min="7" max="7" width="13.7109375" customWidth="1"/>
    <col min="8" max="11" width="9.7109375" customWidth="1"/>
    <col min="12" max="14" width="17.7109375" customWidth="1"/>
  </cols>
  <sheetData>
    <row r="1" spans="2:16" ht="15.75" thickBot="1" x14ac:dyDescent="0.3"/>
    <row r="2" spans="2:16" ht="27.75" x14ac:dyDescent="0.4">
      <c r="B2" s="109" t="s">
        <v>69</v>
      </c>
      <c r="C2" s="110"/>
      <c r="D2" s="110"/>
      <c r="E2" s="110"/>
      <c r="F2" s="110"/>
      <c r="G2" s="110"/>
      <c r="H2" s="110"/>
      <c r="I2" s="110"/>
      <c r="J2" s="110"/>
      <c r="K2" s="110"/>
      <c r="L2" s="110"/>
      <c r="M2" s="110"/>
      <c r="N2" s="111"/>
    </row>
    <row r="3" spans="2:16" x14ac:dyDescent="0.25">
      <c r="B3" s="49"/>
      <c r="C3" s="47"/>
      <c r="D3" s="47"/>
      <c r="E3" s="47"/>
      <c r="F3" s="47"/>
      <c r="G3" s="47"/>
      <c r="H3" s="47"/>
      <c r="I3" s="47"/>
      <c r="J3" s="47"/>
      <c r="K3" s="47"/>
      <c r="L3" s="47"/>
      <c r="M3" s="47"/>
      <c r="N3" s="48"/>
    </row>
    <row r="4" spans="2:16" x14ac:dyDescent="0.25">
      <c r="B4" s="112" t="s">
        <v>87</v>
      </c>
      <c r="C4" s="113"/>
      <c r="D4" s="113"/>
      <c r="E4" s="113"/>
      <c r="F4" s="113"/>
      <c r="G4" s="113"/>
      <c r="H4" s="113"/>
      <c r="I4" s="113"/>
      <c r="J4" s="113"/>
      <c r="K4" s="113"/>
      <c r="L4" s="113"/>
      <c r="M4" s="113"/>
      <c r="N4" s="114"/>
    </row>
    <row r="5" spans="2:16" x14ac:dyDescent="0.25">
      <c r="B5" s="106" t="s">
        <v>108</v>
      </c>
      <c r="C5" s="107"/>
      <c r="D5" s="107"/>
      <c r="E5" s="107"/>
      <c r="F5" s="107"/>
      <c r="G5" s="107"/>
      <c r="H5" s="107"/>
      <c r="I5" s="107"/>
      <c r="J5" s="107"/>
      <c r="K5" s="107"/>
      <c r="L5" s="107"/>
      <c r="M5" s="107"/>
      <c r="N5" s="108"/>
    </row>
    <row r="6" spans="2:16" x14ac:dyDescent="0.25">
      <c r="B6" s="106"/>
      <c r="C6" s="107"/>
      <c r="D6" s="107"/>
      <c r="E6" s="107"/>
      <c r="F6" s="107"/>
      <c r="G6" s="107"/>
      <c r="H6" s="107"/>
      <c r="I6" s="107"/>
      <c r="J6" s="107"/>
      <c r="K6" s="107"/>
      <c r="L6" s="107"/>
      <c r="M6" s="107"/>
      <c r="N6" s="108"/>
    </row>
    <row r="7" spans="2:16" x14ac:dyDescent="0.25">
      <c r="B7" s="141" t="s">
        <v>138</v>
      </c>
      <c r="C7" s="107"/>
      <c r="D7" s="107"/>
      <c r="E7" s="107"/>
      <c r="F7" s="107"/>
      <c r="G7" s="107"/>
      <c r="H7" s="107"/>
      <c r="I7" s="107"/>
      <c r="J7" s="107"/>
      <c r="K7" s="107"/>
      <c r="L7" s="107"/>
      <c r="M7" s="107"/>
      <c r="N7" s="108"/>
    </row>
    <row r="8" spans="2:16" x14ac:dyDescent="0.25">
      <c r="B8" s="106" t="s">
        <v>128</v>
      </c>
      <c r="C8" s="107"/>
      <c r="D8" s="107"/>
      <c r="E8" s="107"/>
      <c r="F8" s="107"/>
      <c r="G8" s="107"/>
      <c r="H8" s="107"/>
      <c r="I8" s="107"/>
      <c r="J8" s="107"/>
      <c r="K8" s="107"/>
      <c r="L8" s="107"/>
      <c r="M8" s="107"/>
      <c r="N8" s="108"/>
    </row>
    <row r="9" spans="2:16" ht="15.75" thickBot="1" x14ac:dyDescent="0.3">
      <c r="B9" s="115" t="s">
        <v>103</v>
      </c>
      <c r="C9" s="116"/>
      <c r="D9" s="116"/>
      <c r="E9" s="116"/>
      <c r="F9" s="116"/>
      <c r="G9" s="116"/>
      <c r="H9" s="116"/>
      <c r="I9" s="116"/>
      <c r="J9" s="116"/>
      <c r="K9" s="116"/>
      <c r="L9" s="116"/>
      <c r="M9" s="116"/>
      <c r="N9" s="117"/>
    </row>
    <row r="10" spans="2:16" x14ac:dyDescent="0.25">
      <c r="B10" s="34"/>
      <c r="C10" s="1"/>
      <c r="D10" s="84"/>
      <c r="E10" s="84"/>
      <c r="F10" s="84"/>
      <c r="G10" s="84"/>
      <c r="H10" s="84"/>
      <c r="I10" s="84"/>
      <c r="J10" s="84"/>
      <c r="K10" s="1"/>
      <c r="L10" s="1"/>
      <c r="M10" s="1"/>
      <c r="N10" s="2"/>
      <c r="O10" s="17"/>
    </row>
    <row r="11" spans="2:16" ht="15.75" x14ac:dyDescent="0.25">
      <c r="B11" s="35"/>
      <c r="C11" s="38"/>
      <c r="D11" s="85"/>
      <c r="E11" s="85"/>
      <c r="F11" s="85"/>
      <c r="G11" s="85"/>
      <c r="H11" s="85"/>
      <c r="I11" s="85"/>
      <c r="J11" s="85"/>
      <c r="K11" s="36"/>
      <c r="L11" s="36"/>
      <c r="M11" s="70" t="s">
        <v>106</v>
      </c>
      <c r="N11" s="3"/>
      <c r="O11" s="51"/>
      <c r="P11" s="33"/>
    </row>
    <row r="12" spans="2:16" ht="15.75" x14ac:dyDescent="0.25">
      <c r="B12" s="35"/>
      <c r="C12" s="38"/>
      <c r="D12" s="85"/>
      <c r="E12" s="85"/>
      <c r="F12" s="85"/>
      <c r="G12" s="85"/>
      <c r="H12" s="85"/>
      <c r="I12" s="85"/>
      <c r="J12" s="85"/>
      <c r="K12" s="36"/>
      <c r="L12" s="66" t="s">
        <v>23</v>
      </c>
      <c r="M12" s="68">
        <v>16</v>
      </c>
      <c r="N12" s="64" t="s">
        <v>99</v>
      </c>
      <c r="O12" s="51"/>
      <c r="P12" s="33"/>
    </row>
    <row r="13" spans="2:16" ht="15" customHeight="1" x14ac:dyDescent="0.25">
      <c r="B13" s="35"/>
      <c r="C13" s="38"/>
      <c r="D13" s="86"/>
      <c r="E13" s="140" t="s">
        <v>88</v>
      </c>
      <c r="F13" s="140"/>
      <c r="G13" s="140"/>
      <c r="H13" s="140"/>
      <c r="I13" s="87"/>
      <c r="J13" s="87"/>
      <c r="K13" s="38"/>
      <c r="L13" s="66" t="s">
        <v>24</v>
      </c>
      <c r="M13" s="68">
        <v>16.5</v>
      </c>
      <c r="N13" s="64" t="s">
        <v>99</v>
      </c>
      <c r="O13" s="51"/>
      <c r="P13" s="33"/>
    </row>
    <row r="14" spans="2:16" ht="15.75" x14ac:dyDescent="0.25">
      <c r="B14" s="35"/>
      <c r="C14" s="38"/>
      <c r="D14" s="88" t="s">
        <v>1</v>
      </c>
      <c r="E14" s="134"/>
      <c r="F14" s="134"/>
      <c r="G14" s="134"/>
      <c r="H14" s="134"/>
      <c r="I14" s="87"/>
      <c r="J14" s="87"/>
      <c r="K14" s="37"/>
      <c r="L14" s="66" t="s">
        <v>25</v>
      </c>
      <c r="M14" s="68">
        <v>17.5</v>
      </c>
      <c r="N14" s="64" t="s">
        <v>99</v>
      </c>
      <c r="O14" s="51"/>
      <c r="P14" s="33"/>
    </row>
    <row r="15" spans="2:16" ht="15.75" x14ac:dyDescent="0.25">
      <c r="B15" s="45"/>
      <c r="C15" s="43"/>
      <c r="D15" s="118" t="s">
        <v>80</v>
      </c>
      <c r="E15" s="133" t="s">
        <v>82</v>
      </c>
      <c r="F15" s="135" t="s">
        <v>0</v>
      </c>
      <c r="G15" s="133" t="s">
        <v>83</v>
      </c>
      <c r="H15" s="133"/>
      <c r="I15" s="86"/>
      <c r="J15" s="86"/>
      <c r="K15" s="44"/>
      <c r="L15" s="67" t="s">
        <v>26</v>
      </c>
      <c r="M15" s="68">
        <v>13.3</v>
      </c>
      <c r="N15" s="65" t="s">
        <v>99</v>
      </c>
    </row>
    <row r="16" spans="2:16" ht="15.75" x14ac:dyDescent="0.25">
      <c r="B16" s="45"/>
      <c r="C16" s="43"/>
      <c r="D16" s="118"/>
      <c r="E16" s="134"/>
      <c r="F16" s="136"/>
      <c r="G16" s="134"/>
      <c r="H16" s="134"/>
      <c r="I16" s="89" t="s">
        <v>81</v>
      </c>
      <c r="J16" s="89"/>
      <c r="K16" s="44"/>
      <c r="L16" s="67" t="s">
        <v>27</v>
      </c>
      <c r="M16" s="68">
        <v>18.5</v>
      </c>
      <c r="N16" s="65" t="s">
        <v>100</v>
      </c>
    </row>
    <row r="17" spans="2:14" ht="15.75" x14ac:dyDescent="0.25">
      <c r="B17" s="45"/>
      <c r="C17" s="43"/>
      <c r="D17" s="85"/>
      <c r="E17" s="85"/>
      <c r="F17" s="85"/>
      <c r="G17" s="85"/>
      <c r="H17" s="85"/>
      <c r="I17" s="85"/>
      <c r="J17" s="85"/>
      <c r="K17" s="44"/>
      <c r="L17" s="67" t="s">
        <v>28</v>
      </c>
      <c r="M17" s="68">
        <v>19.5</v>
      </c>
      <c r="N17" s="65" t="s">
        <v>100</v>
      </c>
    </row>
    <row r="18" spans="2:14" ht="15.75" x14ac:dyDescent="0.25">
      <c r="B18" s="45"/>
      <c r="C18" s="43"/>
      <c r="D18" s="85"/>
      <c r="E18" s="85"/>
      <c r="F18" s="85"/>
      <c r="G18" s="85"/>
      <c r="H18" s="85"/>
      <c r="I18" s="85"/>
      <c r="J18" s="85"/>
      <c r="K18" s="44"/>
      <c r="L18" s="67" t="s">
        <v>29</v>
      </c>
      <c r="M18" s="68">
        <v>1.5</v>
      </c>
      <c r="N18" s="65" t="s">
        <v>102</v>
      </c>
    </row>
    <row r="19" spans="2:14" ht="16.5" thickBot="1" x14ac:dyDescent="0.3">
      <c r="B19" s="39"/>
      <c r="C19" s="21"/>
      <c r="D19" s="90"/>
      <c r="E19" s="91"/>
      <c r="F19" s="91"/>
      <c r="G19" s="91"/>
      <c r="H19" s="91"/>
      <c r="I19" s="91"/>
      <c r="J19" s="91"/>
      <c r="K19" s="22"/>
      <c r="L19" s="22"/>
      <c r="M19" s="23"/>
      <c r="N19" s="24"/>
    </row>
    <row r="20" spans="2:14" s="5" customFormat="1" ht="30" customHeight="1" x14ac:dyDescent="0.25">
      <c r="B20" s="40" t="s">
        <v>86</v>
      </c>
      <c r="C20" s="59" t="s">
        <v>75</v>
      </c>
      <c r="D20" s="9" t="s">
        <v>71</v>
      </c>
      <c r="E20" s="9" t="s">
        <v>137</v>
      </c>
      <c r="F20" s="137" t="s">
        <v>3</v>
      </c>
      <c r="G20" s="137"/>
      <c r="H20" s="138" t="s">
        <v>5</v>
      </c>
      <c r="I20" s="139"/>
      <c r="J20" s="138" t="s">
        <v>98</v>
      </c>
      <c r="K20" s="139"/>
      <c r="L20" s="50" t="s">
        <v>38</v>
      </c>
      <c r="M20" s="10" t="s">
        <v>37</v>
      </c>
      <c r="N20" s="41" t="s">
        <v>61</v>
      </c>
    </row>
    <row r="21" spans="2:14" s="5" customFormat="1" x14ac:dyDescent="0.25">
      <c r="B21" s="127" t="s">
        <v>95</v>
      </c>
      <c r="C21" s="129"/>
      <c r="D21" s="129" t="s">
        <v>97</v>
      </c>
      <c r="E21" s="131" t="s">
        <v>24</v>
      </c>
      <c r="F21" s="82">
        <v>20</v>
      </c>
      <c r="G21" s="14" t="str">
        <f>Data!G2</f>
        <v>liter</v>
      </c>
      <c r="H21" s="129"/>
      <c r="I21" s="125" t="str">
        <f>Data!I2</f>
        <v>km</v>
      </c>
      <c r="J21" s="129"/>
      <c r="K21" s="125" t="s">
        <v>101</v>
      </c>
      <c r="L21" s="119">
        <f>Data!K2</f>
        <v>42.721600000000002</v>
      </c>
      <c r="M21" s="121">
        <f>Data!M2</f>
        <v>52.031602841746583</v>
      </c>
      <c r="N21" s="123">
        <f>Data!O2</f>
        <v>196</v>
      </c>
    </row>
    <row r="22" spans="2:14" s="5" customFormat="1" x14ac:dyDescent="0.25">
      <c r="B22" s="128"/>
      <c r="C22" s="130"/>
      <c r="D22" s="130"/>
      <c r="E22" s="132"/>
      <c r="F22" s="82"/>
      <c r="G22" s="14" t="str">
        <f>Data!G3</f>
        <v>-</v>
      </c>
      <c r="H22" s="130"/>
      <c r="I22" s="126"/>
      <c r="J22" s="130"/>
      <c r="K22" s="126"/>
      <c r="L22" s="120"/>
      <c r="M22" s="122"/>
      <c r="N22" s="124"/>
    </row>
    <row r="23" spans="2:14" x14ac:dyDescent="0.25">
      <c r="B23" s="127" t="s">
        <v>10</v>
      </c>
      <c r="C23" s="129">
        <v>2</v>
      </c>
      <c r="D23" s="129" t="s">
        <v>94</v>
      </c>
      <c r="E23" s="131" t="s">
        <v>31</v>
      </c>
      <c r="F23" s="82"/>
      <c r="G23" s="14" t="str">
        <f>Data!G4</f>
        <v>kWh</v>
      </c>
      <c r="H23" s="129">
        <v>100</v>
      </c>
      <c r="I23" s="125" t="str">
        <f>Data!I4</f>
        <v>km</v>
      </c>
      <c r="J23" s="129"/>
      <c r="K23" s="125" t="s">
        <v>101</v>
      </c>
      <c r="L23" s="119">
        <f>Data!K4</f>
        <v>5.1393400008960919</v>
      </c>
      <c r="M23" s="121">
        <f>Data!M4</f>
        <v>6.7011009739573186</v>
      </c>
      <c r="N23" s="123" t="str">
        <f>Data!O4</f>
        <v>-</v>
      </c>
    </row>
    <row r="24" spans="2:14" x14ac:dyDescent="0.25">
      <c r="B24" s="128"/>
      <c r="C24" s="130"/>
      <c r="D24" s="130"/>
      <c r="E24" s="132"/>
      <c r="F24" s="82"/>
      <c r="G24" s="14" t="str">
        <f>Data!G5</f>
        <v>liter</v>
      </c>
      <c r="H24" s="130"/>
      <c r="I24" s="126"/>
      <c r="J24" s="130"/>
      <c r="K24" s="126"/>
      <c r="L24" s="120"/>
      <c r="M24" s="122"/>
      <c r="N24" s="124"/>
    </row>
    <row r="25" spans="2:14" x14ac:dyDescent="0.25">
      <c r="B25" s="127" t="s">
        <v>11</v>
      </c>
      <c r="C25" s="129">
        <v>1</v>
      </c>
      <c r="D25" s="129" t="s">
        <v>105</v>
      </c>
      <c r="E25" s="131" t="s">
        <v>23</v>
      </c>
      <c r="F25" s="82">
        <v>10</v>
      </c>
      <c r="G25" s="14" t="str">
        <f>Data!G6</f>
        <v>liter</v>
      </c>
      <c r="H25" s="129"/>
      <c r="I25" s="125" t="str">
        <f>Data!I6</f>
        <v>km</v>
      </c>
      <c r="J25" s="129"/>
      <c r="K25" s="125" t="s">
        <v>101</v>
      </c>
      <c r="L25" s="119">
        <f>Data!K6</f>
        <v>22.400000000000002</v>
      </c>
      <c r="M25" s="121">
        <f>Data!M6</f>
        <v>27.00399130289108</v>
      </c>
      <c r="N25" s="123">
        <f>Data!O6</f>
        <v>91</v>
      </c>
    </row>
    <row r="26" spans="2:14" x14ac:dyDescent="0.25">
      <c r="B26" s="128"/>
      <c r="C26" s="130"/>
      <c r="D26" s="130"/>
      <c r="E26" s="132"/>
      <c r="F26" s="82"/>
      <c r="G26" s="14" t="str">
        <f>Data!G7</f>
        <v>-</v>
      </c>
      <c r="H26" s="130"/>
      <c r="I26" s="126"/>
      <c r="J26" s="130"/>
      <c r="K26" s="126"/>
      <c r="L26" s="120"/>
      <c r="M26" s="122"/>
      <c r="N26" s="124"/>
    </row>
    <row r="27" spans="2:14" x14ac:dyDescent="0.25">
      <c r="B27" s="127" t="s">
        <v>10</v>
      </c>
      <c r="C27" s="129">
        <v>1</v>
      </c>
      <c r="D27" s="129" t="s">
        <v>109</v>
      </c>
      <c r="E27" s="131" t="s">
        <v>28</v>
      </c>
      <c r="F27" s="82"/>
      <c r="G27" s="14" t="str">
        <f>Data!G8</f>
        <v>kg</v>
      </c>
      <c r="H27" s="129"/>
      <c r="I27" s="125" t="str">
        <f>Data!I8</f>
        <v>km</v>
      </c>
      <c r="J27" s="129">
        <v>300</v>
      </c>
      <c r="K27" s="125" t="s">
        <v>101</v>
      </c>
      <c r="L27" s="119">
        <f>Data!K8</f>
        <v>0</v>
      </c>
      <c r="M27" s="121">
        <f>Data!M8</f>
        <v>12.449233991654193</v>
      </c>
      <c r="N27" s="123">
        <f>Data!O8</f>
        <v>198.76923076923077</v>
      </c>
    </row>
    <row r="28" spans="2:14" x14ac:dyDescent="0.25">
      <c r="B28" s="128"/>
      <c r="C28" s="130"/>
      <c r="D28" s="130"/>
      <c r="E28" s="132"/>
      <c r="F28" s="82"/>
      <c r="G28" s="14" t="str">
        <f>Data!G9</f>
        <v>-</v>
      </c>
      <c r="H28" s="130"/>
      <c r="I28" s="126"/>
      <c r="J28" s="130"/>
      <c r="K28" s="126"/>
      <c r="L28" s="120"/>
      <c r="M28" s="122"/>
      <c r="N28" s="124"/>
    </row>
    <row r="29" spans="2:14" x14ac:dyDescent="0.25">
      <c r="B29" s="127" t="s">
        <v>9</v>
      </c>
      <c r="C29" s="129"/>
      <c r="D29" s="129"/>
      <c r="E29" s="131" t="s">
        <v>9</v>
      </c>
      <c r="F29" s="82"/>
      <c r="G29" s="14" t="str">
        <f>Data!G10</f>
        <v>-</v>
      </c>
      <c r="H29" s="129"/>
      <c r="I29" s="125" t="str">
        <f>Data!I10</f>
        <v>km</v>
      </c>
      <c r="J29" s="129"/>
      <c r="K29" s="125" t="s">
        <v>101</v>
      </c>
      <c r="L29" s="119">
        <f>Data!K10</f>
        <v>0</v>
      </c>
      <c r="M29" s="121">
        <f>Data!M10</f>
        <v>0</v>
      </c>
      <c r="N29" s="123">
        <f>Data!O10</f>
        <v>0</v>
      </c>
    </row>
    <row r="30" spans="2:14" x14ac:dyDescent="0.25">
      <c r="B30" s="128"/>
      <c r="C30" s="130"/>
      <c r="D30" s="130"/>
      <c r="E30" s="132"/>
      <c r="F30" s="82"/>
      <c r="G30" s="14" t="str">
        <f>Data!G11</f>
        <v>-</v>
      </c>
      <c r="H30" s="130"/>
      <c r="I30" s="126"/>
      <c r="J30" s="130"/>
      <c r="K30" s="126"/>
      <c r="L30" s="120"/>
      <c r="M30" s="122"/>
      <c r="N30" s="124"/>
    </row>
    <row r="31" spans="2:14" x14ac:dyDescent="0.25">
      <c r="B31" s="127" t="s">
        <v>9</v>
      </c>
      <c r="C31" s="129"/>
      <c r="D31" s="129"/>
      <c r="E31" s="131" t="s">
        <v>9</v>
      </c>
      <c r="F31" s="82"/>
      <c r="G31" s="14" t="str">
        <f>Data!G12</f>
        <v>-</v>
      </c>
      <c r="H31" s="129"/>
      <c r="I31" s="125" t="str">
        <f>Data!I12</f>
        <v>km</v>
      </c>
      <c r="J31" s="129"/>
      <c r="K31" s="125" t="s">
        <v>101</v>
      </c>
      <c r="L31" s="119">
        <f>Data!K12</f>
        <v>0</v>
      </c>
      <c r="M31" s="121">
        <f>Data!M12</f>
        <v>0</v>
      </c>
      <c r="N31" s="123">
        <f>Data!O12</f>
        <v>0</v>
      </c>
    </row>
    <row r="32" spans="2:14" x14ac:dyDescent="0.25">
      <c r="B32" s="128"/>
      <c r="C32" s="130"/>
      <c r="D32" s="130"/>
      <c r="E32" s="132"/>
      <c r="F32" s="82"/>
      <c r="G32" s="14" t="str">
        <f>Data!G13</f>
        <v>-</v>
      </c>
      <c r="H32" s="130"/>
      <c r="I32" s="126"/>
      <c r="J32" s="130"/>
      <c r="K32" s="126"/>
      <c r="L32" s="120"/>
      <c r="M32" s="122"/>
      <c r="N32" s="124"/>
    </row>
    <row r="33" spans="2:14" x14ac:dyDescent="0.25">
      <c r="B33" s="127" t="s">
        <v>9</v>
      </c>
      <c r="C33" s="129"/>
      <c r="D33" s="129"/>
      <c r="E33" s="131" t="s">
        <v>9</v>
      </c>
      <c r="F33" s="82"/>
      <c r="G33" s="14" t="str">
        <f>Data!G14</f>
        <v>-</v>
      </c>
      <c r="H33" s="129"/>
      <c r="I33" s="125" t="str">
        <f>Data!I14</f>
        <v>km</v>
      </c>
      <c r="J33" s="129"/>
      <c r="K33" s="125" t="s">
        <v>101</v>
      </c>
      <c r="L33" s="119">
        <f>Data!K14</f>
        <v>0</v>
      </c>
      <c r="M33" s="121">
        <f>Data!M14</f>
        <v>0</v>
      </c>
      <c r="N33" s="123">
        <f>Data!O14</f>
        <v>0</v>
      </c>
    </row>
    <row r="34" spans="2:14" x14ac:dyDescent="0.25">
      <c r="B34" s="128"/>
      <c r="C34" s="130"/>
      <c r="D34" s="130"/>
      <c r="E34" s="132"/>
      <c r="F34" s="82"/>
      <c r="G34" s="14" t="str">
        <f>Data!G15</f>
        <v>-</v>
      </c>
      <c r="H34" s="130"/>
      <c r="I34" s="126"/>
      <c r="J34" s="130"/>
      <c r="K34" s="126"/>
      <c r="L34" s="120"/>
      <c r="M34" s="122"/>
      <c r="N34" s="124"/>
    </row>
    <row r="35" spans="2:14" x14ac:dyDescent="0.25">
      <c r="B35" s="127" t="s">
        <v>9</v>
      </c>
      <c r="C35" s="129"/>
      <c r="D35" s="129"/>
      <c r="E35" s="131" t="s">
        <v>9</v>
      </c>
      <c r="F35" s="82"/>
      <c r="G35" s="14" t="str">
        <f>Data!G16</f>
        <v>-</v>
      </c>
      <c r="H35" s="129"/>
      <c r="I35" s="125" t="str">
        <f>Data!I16</f>
        <v>km</v>
      </c>
      <c r="J35" s="129"/>
      <c r="K35" s="125" t="s">
        <v>101</v>
      </c>
      <c r="L35" s="119">
        <f>Data!K16</f>
        <v>0</v>
      </c>
      <c r="M35" s="121">
        <f>Data!M16</f>
        <v>0</v>
      </c>
      <c r="N35" s="123">
        <f>Data!O16</f>
        <v>0</v>
      </c>
    </row>
    <row r="36" spans="2:14" x14ac:dyDescent="0.25">
      <c r="B36" s="128"/>
      <c r="C36" s="130"/>
      <c r="D36" s="130"/>
      <c r="E36" s="132"/>
      <c r="F36" s="82"/>
      <c r="G36" s="14" t="str">
        <f>Data!G17</f>
        <v>-</v>
      </c>
      <c r="H36" s="130"/>
      <c r="I36" s="126"/>
      <c r="J36" s="130"/>
      <c r="K36" s="126"/>
      <c r="L36" s="120"/>
      <c r="M36" s="122"/>
      <c r="N36" s="124"/>
    </row>
    <row r="37" spans="2:14" x14ac:dyDescent="0.25">
      <c r="B37" s="127" t="s">
        <v>9</v>
      </c>
      <c r="C37" s="129"/>
      <c r="D37" s="129"/>
      <c r="E37" s="131" t="s">
        <v>9</v>
      </c>
      <c r="F37" s="82"/>
      <c r="G37" s="14" t="str">
        <f>Data!G18</f>
        <v>-</v>
      </c>
      <c r="H37" s="129"/>
      <c r="I37" s="125" t="str">
        <f>Data!I18</f>
        <v>km</v>
      </c>
      <c r="J37" s="129"/>
      <c r="K37" s="125" t="s">
        <v>101</v>
      </c>
      <c r="L37" s="119">
        <f>Data!K18</f>
        <v>0</v>
      </c>
      <c r="M37" s="121">
        <f>Data!M18</f>
        <v>0</v>
      </c>
      <c r="N37" s="123">
        <f>Data!O18</f>
        <v>0</v>
      </c>
    </row>
    <row r="38" spans="2:14" x14ac:dyDescent="0.25">
      <c r="B38" s="128"/>
      <c r="C38" s="130"/>
      <c r="D38" s="130"/>
      <c r="E38" s="132"/>
      <c r="F38" s="82"/>
      <c r="G38" s="14" t="str">
        <f>Data!G19</f>
        <v>-</v>
      </c>
      <c r="H38" s="130"/>
      <c r="I38" s="126"/>
      <c r="J38" s="130"/>
      <c r="K38" s="126"/>
      <c r="L38" s="120"/>
      <c r="M38" s="122"/>
      <c r="N38" s="124"/>
    </row>
    <row r="39" spans="2:14" x14ac:dyDescent="0.25">
      <c r="B39" s="127" t="s">
        <v>9</v>
      </c>
      <c r="C39" s="129"/>
      <c r="D39" s="129"/>
      <c r="E39" s="131" t="s">
        <v>9</v>
      </c>
      <c r="F39" s="82"/>
      <c r="G39" s="14" t="str">
        <f>Data!G20</f>
        <v>-</v>
      </c>
      <c r="H39" s="129"/>
      <c r="I39" s="125" t="str">
        <f>Data!I20</f>
        <v>km</v>
      </c>
      <c r="J39" s="129"/>
      <c r="K39" s="125" t="s">
        <v>101</v>
      </c>
      <c r="L39" s="119">
        <f>Data!K20</f>
        <v>0</v>
      </c>
      <c r="M39" s="121">
        <f>Data!M20</f>
        <v>0</v>
      </c>
      <c r="N39" s="123">
        <f>Data!O20</f>
        <v>0</v>
      </c>
    </row>
    <row r="40" spans="2:14" ht="15.75" thickBot="1" x14ac:dyDescent="0.3">
      <c r="B40" s="146"/>
      <c r="C40" s="147"/>
      <c r="D40" s="147"/>
      <c r="E40" s="148"/>
      <c r="F40" s="83"/>
      <c r="G40" s="42" t="str">
        <f>Data!G21</f>
        <v>-</v>
      </c>
      <c r="H40" s="147"/>
      <c r="I40" s="142"/>
      <c r="J40" s="147"/>
      <c r="K40" s="142"/>
      <c r="L40" s="143"/>
      <c r="M40" s="144"/>
      <c r="N40" s="145"/>
    </row>
  </sheetData>
  <sheetProtection algorithmName="SHA-512" hashValue="nvvm1AWLSzRCd2FvAf6IvzUr768ATp+DQTs0Y2TgbwkdRoVLV/ZPwcesnYAroaiGPyqHL8wgiM0JYHgtCHVzAw==" saltValue="j3Jdt3M9FjYvS2BYtiGTbw==" spinCount="100000" sheet="1" objects="1" scenarios="1"/>
  <mergeCells count="124">
    <mergeCell ref="I35:I36"/>
    <mergeCell ref="L35:L36"/>
    <mergeCell ref="M35:M36"/>
    <mergeCell ref="N35:N36"/>
    <mergeCell ref="B37:B38"/>
    <mergeCell ref="C37:C38"/>
    <mergeCell ref="D37:D38"/>
    <mergeCell ref="E37:E38"/>
    <mergeCell ref="H37:H38"/>
    <mergeCell ref="I37:I38"/>
    <mergeCell ref="L37:L38"/>
    <mergeCell ref="M37:M38"/>
    <mergeCell ref="N37:N38"/>
    <mergeCell ref="B35:B36"/>
    <mergeCell ref="C35:C36"/>
    <mergeCell ref="D35:D36"/>
    <mergeCell ref="E35:E36"/>
    <mergeCell ref="H35:H36"/>
    <mergeCell ref="J35:J36"/>
    <mergeCell ref="K35:K36"/>
    <mergeCell ref="J37:J38"/>
    <mergeCell ref="K37:K38"/>
    <mergeCell ref="I39:I40"/>
    <mergeCell ref="L39:L40"/>
    <mergeCell ref="M39:M40"/>
    <mergeCell ref="N39:N40"/>
    <mergeCell ref="B39:B40"/>
    <mergeCell ref="C39:C40"/>
    <mergeCell ref="D39:D40"/>
    <mergeCell ref="E39:E40"/>
    <mergeCell ref="H39:H40"/>
    <mergeCell ref="J39:J40"/>
    <mergeCell ref="K39:K40"/>
    <mergeCell ref="I31:I32"/>
    <mergeCell ref="L31:L32"/>
    <mergeCell ref="M31:M32"/>
    <mergeCell ref="N31:N32"/>
    <mergeCell ref="B33:B34"/>
    <mergeCell ref="C33:C34"/>
    <mergeCell ref="D33:D34"/>
    <mergeCell ref="E33:E34"/>
    <mergeCell ref="H33:H34"/>
    <mergeCell ref="I33:I34"/>
    <mergeCell ref="L33:L34"/>
    <mergeCell ref="M33:M34"/>
    <mergeCell ref="N33:N34"/>
    <mergeCell ref="B31:B32"/>
    <mergeCell ref="C31:C32"/>
    <mergeCell ref="D31:D32"/>
    <mergeCell ref="E31:E32"/>
    <mergeCell ref="H31:H32"/>
    <mergeCell ref="J31:J32"/>
    <mergeCell ref="K31:K32"/>
    <mergeCell ref="J33:J34"/>
    <mergeCell ref="K33:K34"/>
    <mergeCell ref="I27:I28"/>
    <mergeCell ref="L27:L28"/>
    <mergeCell ref="M27:M28"/>
    <mergeCell ref="N27:N28"/>
    <mergeCell ref="B29:B30"/>
    <mergeCell ref="C29:C30"/>
    <mergeCell ref="D29:D30"/>
    <mergeCell ref="E29:E30"/>
    <mergeCell ref="H29:H30"/>
    <mergeCell ref="I29:I30"/>
    <mergeCell ref="L29:L30"/>
    <mergeCell ref="M29:M30"/>
    <mergeCell ref="N29:N30"/>
    <mergeCell ref="B27:B28"/>
    <mergeCell ref="C27:C28"/>
    <mergeCell ref="D27:D28"/>
    <mergeCell ref="E27:E28"/>
    <mergeCell ref="H27:H28"/>
    <mergeCell ref="J29:J30"/>
    <mergeCell ref="K29:K30"/>
    <mergeCell ref="J27:J28"/>
    <mergeCell ref="K27:K28"/>
    <mergeCell ref="K21:K22"/>
    <mergeCell ref="D25:D26"/>
    <mergeCell ref="E25:E26"/>
    <mergeCell ref="H25:H26"/>
    <mergeCell ref="I25:I26"/>
    <mergeCell ref="L25:L26"/>
    <mergeCell ref="M25:M26"/>
    <mergeCell ref="N25:N26"/>
    <mergeCell ref="B23:B24"/>
    <mergeCell ref="C23:C24"/>
    <mergeCell ref="D23:D24"/>
    <mergeCell ref="E23:E24"/>
    <mergeCell ref="H23:H24"/>
    <mergeCell ref="I23:I24"/>
    <mergeCell ref="L23:L24"/>
    <mergeCell ref="M23:M24"/>
    <mergeCell ref="N23:N24"/>
    <mergeCell ref="B25:B26"/>
    <mergeCell ref="C25:C26"/>
    <mergeCell ref="J23:J24"/>
    <mergeCell ref="K23:K24"/>
    <mergeCell ref="J25:J26"/>
    <mergeCell ref="K25:K26"/>
    <mergeCell ref="B8:N8"/>
    <mergeCell ref="B2:N2"/>
    <mergeCell ref="B4:N4"/>
    <mergeCell ref="B9:N9"/>
    <mergeCell ref="D15:D16"/>
    <mergeCell ref="B5:N6"/>
    <mergeCell ref="L21:L22"/>
    <mergeCell ref="M21:M22"/>
    <mergeCell ref="N21:N22"/>
    <mergeCell ref="I21:I22"/>
    <mergeCell ref="B21:B22"/>
    <mergeCell ref="C21:C22"/>
    <mergeCell ref="D21:D22"/>
    <mergeCell ref="E21:E22"/>
    <mergeCell ref="E15:E16"/>
    <mergeCell ref="F15:F16"/>
    <mergeCell ref="F20:G20"/>
    <mergeCell ref="H20:I20"/>
    <mergeCell ref="H21:H22"/>
    <mergeCell ref="E13:H14"/>
    <mergeCell ref="B7:N7"/>
    <mergeCell ref="G15:H16"/>
    <mergeCell ref="J20:K20"/>
    <mergeCell ref="J21:J22"/>
  </mergeCells>
  <conditionalFormatting sqref="H21">
    <cfRule type="expression" dxfId="59" priority="72">
      <formula>$F$21="-"</formula>
    </cfRule>
  </conditionalFormatting>
  <conditionalFormatting sqref="F22">
    <cfRule type="expression" dxfId="58" priority="71">
      <formula>$G$22="-"</formula>
    </cfRule>
  </conditionalFormatting>
  <conditionalFormatting sqref="H23">
    <cfRule type="expression" dxfId="57" priority="69">
      <formula>$F$21="-"</formula>
    </cfRule>
  </conditionalFormatting>
  <conditionalFormatting sqref="F24">
    <cfRule type="expression" dxfId="56" priority="68">
      <formula>$G$24="-"</formula>
    </cfRule>
  </conditionalFormatting>
  <conditionalFormatting sqref="H25">
    <cfRule type="expression" dxfId="55" priority="66">
      <formula>$F$21="-"</formula>
    </cfRule>
  </conditionalFormatting>
  <conditionalFormatting sqref="F26">
    <cfRule type="expression" dxfId="54" priority="65">
      <formula>$G$26="-"</formula>
    </cfRule>
  </conditionalFormatting>
  <conditionalFormatting sqref="H27">
    <cfRule type="expression" dxfId="53" priority="63">
      <formula>$F$21="-"</formula>
    </cfRule>
  </conditionalFormatting>
  <conditionalFormatting sqref="F28">
    <cfRule type="expression" dxfId="52" priority="62">
      <formula>$G$28="-"</formula>
    </cfRule>
  </conditionalFormatting>
  <conditionalFormatting sqref="H29">
    <cfRule type="expression" dxfId="51" priority="60">
      <formula>$F$21="-"</formula>
    </cfRule>
  </conditionalFormatting>
  <conditionalFormatting sqref="F30">
    <cfRule type="expression" dxfId="50" priority="59">
      <formula>$G$30="-"</formula>
    </cfRule>
  </conditionalFormatting>
  <conditionalFormatting sqref="H31">
    <cfRule type="expression" dxfId="49" priority="57">
      <formula>$F$21="-"</formula>
    </cfRule>
  </conditionalFormatting>
  <conditionalFormatting sqref="F32">
    <cfRule type="expression" dxfId="48" priority="56">
      <formula>$G$32="-"</formula>
    </cfRule>
  </conditionalFormatting>
  <conditionalFormatting sqref="H33">
    <cfRule type="expression" dxfId="47" priority="54">
      <formula>$F$21="-"</formula>
    </cfRule>
  </conditionalFormatting>
  <conditionalFormatting sqref="F34">
    <cfRule type="expression" dxfId="46" priority="53">
      <formula>$G$34="-"</formula>
    </cfRule>
  </conditionalFormatting>
  <conditionalFormatting sqref="H35">
    <cfRule type="expression" dxfId="45" priority="51">
      <formula>$F$21="-"</formula>
    </cfRule>
  </conditionalFormatting>
  <conditionalFormatting sqref="F36">
    <cfRule type="expression" dxfId="44" priority="50">
      <formula>$G$36="-"</formula>
    </cfRule>
  </conditionalFormatting>
  <conditionalFormatting sqref="H37">
    <cfRule type="expression" dxfId="43" priority="48">
      <formula>$F$21="-"</formula>
    </cfRule>
  </conditionalFormatting>
  <conditionalFormatting sqref="F38">
    <cfRule type="expression" dxfId="42" priority="47">
      <formula>$G$38="-"</formula>
    </cfRule>
  </conditionalFormatting>
  <conditionalFormatting sqref="H39">
    <cfRule type="expression" dxfId="41" priority="45">
      <formula>$F$21="-"</formula>
    </cfRule>
  </conditionalFormatting>
  <conditionalFormatting sqref="F40">
    <cfRule type="expression" dxfId="40" priority="44">
      <formula>$G$40="-"</formula>
    </cfRule>
  </conditionalFormatting>
  <conditionalFormatting sqref="C21:C22">
    <cfRule type="expression" dxfId="39" priority="41">
      <formula>$B$21="Endast bränsle"</formula>
    </cfRule>
  </conditionalFormatting>
  <conditionalFormatting sqref="C23:C24">
    <cfRule type="expression" dxfId="38" priority="40">
      <formula>$B$23="Endast bränsle"</formula>
    </cfRule>
  </conditionalFormatting>
  <conditionalFormatting sqref="C25:C26">
    <cfRule type="expression" dxfId="37" priority="39">
      <formula>$B$25="Endast bränsle"</formula>
    </cfRule>
  </conditionalFormatting>
  <conditionalFormatting sqref="C27:C28">
    <cfRule type="expression" dxfId="36" priority="38">
      <formula>$B$27="Endast bränsle"</formula>
    </cfRule>
  </conditionalFormatting>
  <conditionalFormatting sqref="C29:C30">
    <cfRule type="expression" dxfId="35" priority="37">
      <formula>$B$29="Endast bränsle"</formula>
    </cfRule>
  </conditionalFormatting>
  <conditionalFormatting sqref="C31:C32">
    <cfRule type="expression" dxfId="34" priority="36">
      <formula>$B$31="Endast bränsle"</formula>
    </cfRule>
  </conditionalFormatting>
  <conditionalFormatting sqref="C33:C34">
    <cfRule type="expression" dxfId="33" priority="35">
      <formula>$B$33="Endast bränsle"</formula>
    </cfRule>
  </conditionalFormatting>
  <conditionalFormatting sqref="C35:C36">
    <cfRule type="expression" dxfId="32" priority="34">
      <formula>$B$35="Endast bränsle"</formula>
    </cfRule>
  </conditionalFormatting>
  <conditionalFormatting sqref="C37:C38">
    <cfRule type="expression" dxfId="31" priority="33">
      <formula>$B$37="Endast bränsle"</formula>
    </cfRule>
  </conditionalFormatting>
  <conditionalFormatting sqref="C39:C40">
    <cfRule type="expression" dxfId="30" priority="32">
      <formula>$B$39="Endast bränsle"</formula>
    </cfRule>
  </conditionalFormatting>
  <conditionalFormatting sqref="H21:H22">
    <cfRule type="expression" dxfId="29" priority="31">
      <formula>$B$21="Endast bränsle"</formula>
    </cfRule>
  </conditionalFormatting>
  <conditionalFormatting sqref="H23:H24">
    <cfRule type="expression" dxfId="28" priority="30">
      <formula>$B$23="Endast bränsle"</formula>
    </cfRule>
  </conditionalFormatting>
  <conditionalFormatting sqref="H25:H26">
    <cfRule type="expression" dxfId="27" priority="29">
      <formula>$B$25="Endast bränsle"</formula>
    </cfRule>
  </conditionalFormatting>
  <conditionalFormatting sqref="H27:H28">
    <cfRule type="expression" dxfId="26" priority="28">
      <formula>$B$27="Endast bränsle"</formula>
    </cfRule>
  </conditionalFormatting>
  <conditionalFormatting sqref="H29:H30">
    <cfRule type="expression" dxfId="25" priority="27">
      <formula>$B$29="Endast bränsle"</formula>
    </cfRule>
  </conditionalFormatting>
  <conditionalFormatting sqref="H31:H32">
    <cfRule type="expression" dxfId="24" priority="26">
      <formula>$B$31="Endast bränsle"</formula>
    </cfRule>
  </conditionalFormatting>
  <conditionalFormatting sqref="H33:H34">
    <cfRule type="expression" dxfId="23" priority="25">
      <formula>$B$33="Endast bränsle"</formula>
    </cfRule>
  </conditionalFormatting>
  <conditionalFormatting sqref="H35:H36">
    <cfRule type="expression" dxfId="22" priority="24">
      <formula>$B$35="Endast bränsle"</formula>
    </cfRule>
  </conditionalFormatting>
  <conditionalFormatting sqref="H37:H38">
    <cfRule type="expression" dxfId="21" priority="23">
      <formula>$B$37="Endast bränsle"</formula>
    </cfRule>
  </conditionalFormatting>
  <conditionalFormatting sqref="H39:H40">
    <cfRule type="expression" dxfId="20" priority="22">
      <formula>$B$39="Endast bränsle"</formula>
    </cfRule>
  </conditionalFormatting>
  <conditionalFormatting sqref="J21">
    <cfRule type="expression" dxfId="19" priority="21">
      <formula>$F$21="-"</formula>
    </cfRule>
  </conditionalFormatting>
  <conditionalFormatting sqref="J23">
    <cfRule type="expression" dxfId="18" priority="20">
      <formula>$F$23="-"</formula>
    </cfRule>
  </conditionalFormatting>
  <conditionalFormatting sqref="J25">
    <cfRule type="expression" dxfId="17" priority="19">
      <formula>$F$25="-"</formula>
    </cfRule>
  </conditionalFormatting>
  <conditionalFormatting sqref="J27">
    <cfRule type="expression" dxfId="16" priority="18">
      <formula>$F$27="-"</formula>
    </cfRule>
  </conditionalFormatting>
  <conditionalFormatting sqref="J29">
    <cfRule type="expression" dxfId="15" priority="17">
      <formula>$F$29="-"</formula>
    </cfRule>
  </conditionalFormatting>
  <conditionalFormatting sqref="J31">
    <cfRule type="expression" dxfId="14" priority="16">
      <formula>$F$31="-"</formula>
    </cfRule>
  </conditionalFormatting>
  <conditionalFormatting sqref="J33">
    <cfRule type="expression" dxfId="13" priority="15">
      <formula>$F$33="-"</formula>
    </cfRule>
  </conditionalFormatting>
  <conditionalFormatting sqref="J35">
    <cfRule type="expression" dxfId="12" priority="14">
      <formula>$F$35="-"</formula>
    </cfRule>
  </conditionalFormatting>
  <conditionalFormatting sqref="J37">
    <cfRule type="expression" dxfId="11" priority="13">
      <formula>$F$37="-"</formula>
    </cfRule>
  </conditionalFormatting>
  <conditionalFormatting sqref="J39">
    <cfRule type="expression" dxfId="10" priority="12">
      <formula>$F$39="-"</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beginsWith" priority="70" operator="beginsWith" id="{5B1117CE-D96E-43EB-B389-11C721FF05E5}">
            <xm:f>LEFT(G22,LEN("-"))="-"</xm:f>
            <xm:f>"-"</xm:f>
            <x14:dxf>
              <font>
                <color theme="0" tint="-0.24994659260841701"/>
              </font>
              <fill>
                <patternFill>
                  <bgColor theme="0" tint="-0.24994659260841701"/>
                </patternFill>
              </fill>
            </x14:dxf>
          </x14:cfRule>
          <xm:sqref>G22</xm:sqref>
        </x14:conditionalFormatting>
        <x14:conditionalFormatting xmlns:xm="http://schemas.microsoft.com/office/excel/2006/main">
          <x14:cfRule type="beginsWith" priority="67" operator="beginsWith" id="{B9FD7A32-BE27-421F-A94E-97302F7763E0}">
            <xm:f>LEFT(G24,LEN("-"))="-"</xm:f>
            <xm:f>"-"</xm:f>
            <x14:dxf>
              <font>
                <color theme="0" tint="-0.24994659260841701"/>
              </font>
              <fill>
                <patternFill>
                  <bgColor theme="0" tint="-0.24994659260841701"/>
                </patternFill>
              </fill>
            </x14:dxf>
          </x14:cfRule>
          <xm:sqref>G24</xm:sqref>
        </x14:conditionalFormatting>
        <x14:conditionalFormatting xmlns:xm="http://schemas.microsoft.com/office/excel/2006/main">
          <x14:cfRule type="beginsWith" priority="64" operator="beginsWith" id="{0867E43E-FEC3-4C00-97F8-781EEEAE1807}">
            <xm:f>LEFT(G26,LEN("-"))="-"</xm:f>
            <xm:f>"-"</xm:f>
            <x14:dxf>
              <font>
                <color theme="0" tint="-0.24994659260841701"/>
              </font>
              <fill>
                <patternFill>
                  <bgColor theme="0" tint="-0.24994659260841701"/>
                </patternFill>
              </fill>
            </x14:dxf>
          </x14:cfRule>
          <xm:sqref>G26</xm:sqref>
        </x14:conditionalFormatting>
        <x14:conditionalFormatting xmlns:xm="http://schemas.microsoft.com/office/excel/2006/main">
          <x14:cfRule type="beginsWith" priority="61" operator="beginsWith" id="{92205A51-D84C-4E37-B5CF-30DD44AE0646}">
            <xm:f>LEFT(G28,LEN("-"))="-"</xm:f>
            <xm:f>"-"</xm:f>
            <x14:dxf>
              <font>
                <color theme="0" tint="-0.24994659260841701"/>
              </font>
              <fill>
                <patternFill>
                  <bgColor theme="0" tint="-0.24994659260841701"/>
                </patternFill>
              </fill>
            </x14:dxf>
          </x14:cfRule>
          <xm:sqref>G28</xm:sqref>
        </x14:conditionalFormatting>
        <x14:conditionalFormatting xmlns:xm="http://schemas.microsoft.com/office/excel/2006/main">
          <x14:cfRule type="beginsWith" priority="58" operator="beginsWith" id="{01349D6D-4E27-459D-874B-9EBC8BA09E39}">
            <xm:f>LEFT(G30,LEN("-"))="-"</xm:f>
            <xm:f>"-"</xm:f>
            <x14:dxf>
              <font>
                <color theme="0" tint="-0.24994659260841701"/>
              </font>
              <fill>
                <patternFill>
                  <bgColor theme="0" tint="-0.24994659260841701"/>
                </patternFill>
              </fill>
            </x14:dxf>
          </x14:cfRule>
          <xm:sqref>G30</xm:sqref>
        </x14:conditionalFormatting>
        <x14:conditionalFormatting xmlns:xm="http://schemas.microsoft.com/office/excel/2006/main">
          <x14:cfRule type="beginsWith" priority="55" operator="beginsWith" id="{BCAB9EC1-A511-429D-8D87-38693AFB4A06}">
            <xm:f>LEFT(G32,LEN("-"))="-"</xm:f>
            <xm:f>"-"</xm:f>
            <x14:dxf>
              <font>
                <color theme="0" tint="-0.24994659260841701"/>
              </font>
              <fill>
                <patternFill>
                  <bgColor theme="0" tint="-0.24994659260841701"/>
                </patternFill>
              </fill>
            </x14:dxf>
          </x14:cfRule>
          <xm:sqref>G32</xm:sqref>
        </x14:conditionalFormatting>
        <x14:conditionalFormatting xmlns:xm="http://schemas.microsoft.com/office/excel/2006/main">
          <x14:cfRule type="beginsWith" priority="52" operator="beginsWith" id="{7B6A7FAC-5678-4B8D-AB4A-3408815BC71F}">
            <xm:f>LEFT(G34,LEN("-"))="-"</xm:f>
            <xm:f>"-"</xm:f>
            <x14:dxf>
              <font>
                <color theme="0" tint="-0.24994659260841701"/>
              </font>
              <fill>
                <patternFill>
                  <bgColor theme="0" tint="-0.24994659260841701"/>
                </patternFill>
              </fill>
            </x14:dxf>
          </x14:cfRule>
          <xm:sqref>G34</xm:sqref>
        </x14:conditionalFormatting>
        <x14:conditionalFormatting xmlns:xm="http://schemas.microsoft.com/office/excel/2006/main">
          <x14:cfRule type="beginsWith" priority="49" operator="beginsWith" id="{167F024C-754E-47E1-BA9A-5DA78DD26177}">
            <xm:f>LEFT(G36,LEN("-"))="-"</xm:f>
            <xm:f>"-"</xm:f>
            <x14:dxf>
              <font>
                <color theme="0" tint="-0.24994659260841701"/>
              </font>
              <fill>
                <patternFill>
                  <bgColor theme="0" tint="-0.24994659260841701"/>
                </patternFill>
              </fill>
            </x14:dxf>
          </x14:cfRule>
          <xm:sqref>G36</xm:sqref>
        </x14:conditionalFormatting>
        <x14:conditionalFormatting xmlns:xm="http://schemas.microsoft.com/office/excel/2006/main">
          <x14:cfRule type="beginsWith" priority="46" operator="beginsWith" id="{6D9B17F4-DB41-444A-BC5D-613FAD2F7CAF}">
            <xm:f>LEFT(G38,LEN("-"))="-"</xm:f>
            <xm:f>"-"</xm:f>
            <x14:dxf>
              <font>
                <color theme="0" tint="-0.24994659260841701"/>
              </font>
              <fill>
                <patternFill>
                  <bgColor theme="0" tint="-0.24994659260841701"/>
                </patternFill>
              </fill>
            </x14:dxf>
          </x14:cfRule>
          <xm:sqref>G38</xm:sqref>
        </x14:conditionalFormatting>
        <x14:conditionalFormatting xmlns:xm="http://schemas.microsoft.com/office/excel/2006/main">
          <x14:cfRule type="beginsWith" priority="43" operator="beginsWith" id="{097BBD87-2314-4CC7-86F9-05C1942056BE}">
            <xm:f>LEFT(G40,LEN("-"))="-"</xm:f>
            <xm:f>"-"</xm:f>
            <x14:dxf>
              <font>
                <color theme="0" tint="-0.24994659260841701"/>
              </font>
              <fill>
                <patternFill>
                  <bgColor theme="0" tint="-0.24994659260841701"/>
                </patternFill>
              </fill>
            </x14:dxf>
          </x14:cfRule>
          <xm:sqref>G40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EA298FA-6F05-4760-A628-B86CC17C9C7D}">
          <x14:formula1>
            <xm:f>Rullista!$B$2:$B$13</xm:f>
          </x14:formula1>
          <xm:sqref>E21 E23 E25 E27 E29 E31 E33 E35 E37 E39</xm:sqref>
        </x14:dataValidation>
        <x14:dataValidation type="list" allowBlank="1" showInputMessage="1" showErrorMessage="1" xr:uid="{EA90490E-2AD2-4903-970C-EEBFD1C8376A}">
          <x14:formula1>
            <xm:f>Rullista!$A$2:$A$16</xm:f>
          </x14:formula1>
          <xm:sqref>B21:B40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D396D-D65A-4298-BE93-695B736B817F}">
  <sheetPr>
    <tabColor theme="8" tint="0.59999389629810485"/>
  </sheetPr>
  <dimension ref="B1:M29"/>
  <sheetViews>
    <sheetView workbookViewId="0"/>
  </sheetViews>
  <sheetFormatPr defaultRowHeight="15" x14ac:dyDescent="0.25"/>
  <cols>
    <col min="2" max="2" width="29.140625" bestFit="1" customWidth="1"/>
    <col min="3" max="5" width="20.7109375" customWidth="1"/>
    <col min="6" max="6" width="11.5703125" bestFit="1" customWidth="1"/>
    <col min="7" max="7" width="23.140625" customWidth="1"/>
    <col min="8" max="8" width="13.5703125" customWidth="1"/>
    <col min="9" max="9" width="15.7109375" customWidth="1"/>
    <col min="10" max="10" width="13.7109375" customWidth="1"/>
    <col min="11" max="11" width="15.7109375" customWidth="1"/>
    <col min="12" max="12" width="13.7109375" customWidth="1"/>
    <col min="13" max="13" width="15.7109375" customWidth="1"/>
  </cols>
  <sheetData>
    <row r="1" spans="2:13" ht="15.75" thickBot="1" x14ac:dyDescent="0.3"/>
    <row r="2" spans="2:13" ht="27.75" customHeight="1" x14ac:dyDescent="0.25">
      <c r="B2" s="149" t="s">
        <v>107</v>
      </c>
      <c r="C2" s="150"/>
      <c r="D2" s="150"/>
      <c r="E2" s="151"/>
    </row>
    <row r="3" spans="2:13" x14ac:dyDescent="0.25">
      <c r="B3" s="152" t="s">
        <v>126</v>
      </c>
      <c r="C3" s="153"/>
      <c r="D3" s="153"/>
      <c r="E3" s="154"/>
    </row>
    <row r="4" spans="2:13" x14ac:dyDescent="0.25">
      <c r="B4" s="152"/>
      <c r="C4" s="153"/>
      <c r="D4" s="153"/>
      <c r="E4" s="154"/>
    </row>
    <row r="5" spans="2:13" ht="15.75" thickBot="1" x14ac:dyDescent="0.3">
      <c r="B5" s="155"/>
      <c r="C5" s="156"/>
      <c r="D5" s="156"/>
      <c r="E5" s="157"/>
    </row>
    <row r="7" spans="2:13" ht="30" x14ac:dyDescent="0.25">
      <c r="C7" s="50" t="s">
        <v>38</v>
      </c>
      <c r="D7" s="10" t="s">
        <v>37</v>
      </c>
      <c r="E7" s="11" t="s">
        <v>66</v>
      </c>
    </row>
    <row r="8" spans="2:13" x14ac:dyDescent="0.25">
      <c r="B8" s="163" t="s">
        <v>70</v>
      </c>
      <c r="C8" s="119">
        <f>SUM(Inmatning!L21:L40)</f>
        <v>70.260940000896099</v>
      </c>
      <c r="D8" s="121">
        <f>SUM(Inmatning!M21:M40)</f>
        <v>98.185929110249177</v>
      </c>
      <c r="E8" s="161">
        <f>SUM(Inmatning!N21:N40)</f>
        <v>485.76923076923077</v>
      </c>
    </row>
    <row r="9" spans="2:13" x14ac:dyDescent="0.25">
      <c r="B9" s="163"/>
      <c r="C9" s="120"/>
      <c r="D9" s="122"/>
      <c r="E9" s="162"/>
    </row>
    <row r="12" spans="2:13" ht="30" customHeight="1" x14ac:dyDescent="0.25">
      <c r="B12" s="164" t="s">
        <v>110</v>
      </c>
      <c r="C12" s="164"/>
      <c r="D12" s="164"/>
      <c r="E12" s="164"/>
      <c r="G12" s="158" t="s">
        <v>114</v>
      </c>
      <c r="H12" s="158"/>
      <c r="I12" s="158"/>
      <c r="J12" s="158"/>
      <c r="K12" s="158"/>
      <c r="L12" s="158"/>
      <c r="M12" s="158"/>
    </row>
    <row r="13" spans="2:13" ht="15" customHeight="1" x14ac:dyDescent="0.25">
      <c r="B13" s="27" t="s">
        <v>113</v>
      </c>
      <c r="C13" s="29">
        <f>SUMIF(Inmatning!$B$21:$B$40,"Endast bränsle",Inmatning!$L$21:$L$40)</f>
        <v>42.721600000000002</v>
      </c>
      <c r="D13" s="29">
        <f>SUMIF(Inmatning!$B$21:$B$40,"Endast bränsle",Inmatning!$M$21:$M$40)</f>
        <v>52.031602841746583</v>
      </c>
      <c r="E13" s="29">
        <f>SUMIF(Inmatning!$B$21:$B$40,"Endast bränsle",Inmatning!$N$21:$N$40)</f>
        <v>196</v>
      </c>
      <c r="G13" s="30" t="s">
        <v>116</v>
      </c>
      <c r="H13" s="31">
        <f>SUM(Inmatning!C21:C40)</f>
        <v>4</v>
      </c>
      <c r="I13" s="30" t="s">
        <v>84</v>
      </c>
      <c r="J13" s="31">
        <f>SUMIF(Inmatning!E21:E40,"Biodiesel (HVO 100%)",Inmatning!C21:C40)+SUMIF(Inmatning!E21:E40,"Biogas",Inmatning!C21:C40)+SUMIF(Inmatning!E21:E40,"El",Inmatning!C21:C40)+SUMIFS(Inmatning!C21:C40,Inmatning!B21:B40,"Cykel",Inmatning!E21:E40,"-")</f>
        <v>1</v>
      </c>
      <c r="K13" s="80" t="s">
        <v>115</v>
      </c>
      <c r="L13" s="31">
        <f>SUM(Inmatning!H21:H40)</f>
        <v>100</v>
      </c>
      <c r="M13" s="78" t="s">
        <v>111</v>
      </c>
    </row>
    <row r="14" spans="2:13" x14ac:dyDescent="0.25">
      <c r="B14" s="27" t="s">
        <v>10</v>
      </c>
      <c r="C14" s="29">
        <f>SUMIF(Inmatning!$B$21:$B$40,"Personbil",Inmatning!$L$21:$L$40)</f>
        <v>5.1393400008960919</v>
      </c>
      <c r="D14" s="29">
        <f>SUMIF(Inmatning!$B$21:$B$40,"Personbil",Inmatning!$M$21:$M$40)</f>
        <v>19.150334965611513</v>
      </c>
      <c r="E14" s="29">
        <f>SUMIF(Inmatning!$B$21:$B$40,"Personbil",Inmatning!$N$21:$N$40)</f>
        <v>198.76923076923077</v>
      </c>
      <c r="G14" s="30" t="s">
        <v>10</v>
      </c>
      <c r="H14" s="25">
        <f>SUMIF(Inmatning!$B$21:$B$40,"Personbil",Inmatning!$C$21:$C$40)</f>
        <v>3</v>
      </c>
      <c r="I14" s="76" t="s">
        <v>85</v>
      </c>
      <c r="J14" s="25">
        <f>SUMIFS(Inmatning!C21:C40,Inmatning!B21:B40,"Personbil",Inmatning!E21:E40,"Biodiesel (HVO 100%)")+SUMIFS(Inmatning!C21:C40,Inmatning!B21:B40,"Personbil",Inmatning!E21:E40,"Biogas")+SUMIFS(Inmatning!C21:C40,Inmatning!B21:B40,"Personbil",Inmatning!E21:E40,"El")</f>
        <v>1</v>
      </c>
      <c r="K14" s="79" t="s">
        <v>115</v>
      </c>
      <c r="L14" s="25">
        <f>SUMIF(Inmatning!$B$21:$B$40,"Personbil",Inmatning!$H$21:$H$40)</f>
        <v>100</v>
      </c>
      <c r="M14" s="78" t="s">
        <v>111</v>
      </c>
    </row>
    <row r="15" spans="2:13" x14ac:dyDescent="0.25">
      <c r="B15" s="27" t="s">
        <v>11</v>
      </c>
      <c r="C15" s="29">
        <f>SUMIF(Inmatning!$B$21:$B$40,"Lätt lastbil",Inmatning!$L$21:$L$40)</f>
        <v>22.400000000000002</v>
      </c>
      <c r="D15" s="29">
        <f>SUMIF(Inmatning!$B$21:$B$40,"Lätt lastbil",Inmatning!$M$21:$M$40)</f>
        <v>27.00399130289108</v>
      </c>
      <c r="E15" s="29">
        <f>SUMIF(Inmatning!$B$21:$B$40,"Lätt lastbil",Inmatning!$N$21:$N$40)</f>
        <v>91</v>
      </c>
      <c r="G15" s="30" t="s">
        <v>11</v>
      </c>
      <c r="H15" s="25">
        <f>SUMIF(Inmatning!$B$21:$B$40,"Lätt lastbil",Inmatning!$C$21:$C$40)</f>
        <v>1</v>
      </c>
      <c r="I15" s="76" t="s">
        <v>85</v>
      </c>
      <c r="J15" s="25">
        <f>SUMIFS(Inmatning!C21:C40,Inmatning!B21:B40,"Lätt lastbil",Inmatning!E21:E40,"Biodiesel (HVO 100%)")+SUMIFS(Inmatning!C21:C40,Inmatning!B21:B40,"Lätt lastbil",Inmatning!E21:E40,"Biogas")+SUMIFS(Inmatning!C21:C40,Inmatning!B21:B40,"Lätt lastbil",Inmatning!E21:E40,"El")</f>
        <v>0</v>
      </c>
      <c r="K15" s="79" t="s">
        <v>115</v>
      </c>
      <c r="L15" s="25">
        <f>SUMIF(Inmatning!$B$21:$B$40,"Lätt lastbil",Inmatning!$H$21:$H$40)</f>
        <v>0</v>
      </c>
      <c r="M15" s="78" t="s">
        <v>111</v>
      </c>
    </row>
    <row r="16" spans="2:13" x14ac:dyDescent="0.25">
      <c r="B16" s="27" t="s">
        <v>12</v>
      </c>
      <c r="C16" s="29">
        <f>SUMIF(Inmatning!$B$21:$B$40,"Tung lastbil",Inmatning!$L$21:$L$40)</f>
        <v>0</v>
      </c>
      <c r="D16" s="29">
        <f>SUMIF(Inmatning!$B$21:$B$40,"Tung lastbil",Inmatning!$M$21:$M$40)</f>
        <v>0</v>
      </c>
      <c r="E16" s="29">
        <f>SUMIF(Inmatning!$B$21:$B$40,"Tung lastbil",Inmatning!$N$21:$N$40)</f>
        <v>0</v>
      </c>
      <c r="G16" s="30" t="s">
        <v>12</v>
      </c>
      <c r="H16" s="25">
        <f>SUMIF(Inmatning!$B$21:$B$40,"Tung lastbil",Inmatning!$C$21:$C$40)</f>
        <v>0</v>
      </c>
      <c r="I16" s="76" t="s">
        <v>85</v>
      </c>
      <c r="J16" s="25">
        <f>SUMIFS(Inmatning!C21:C40,Inmatning!B21:B40,"Tung lastbil",Inmatning!E21:E40,"Biodiesel (HVO 100%)")+SUMIFS(Inmatning!C21:C40,Inmatning!B21:B40,"Tung lastbil",Inmatning!E21:E40,"Biogas")+SUMIFS(Inmatning!C21:C40,Inmatning!B21:B40,"Tung lastbil",Inmatning!E21:E40,"El")</f>
        <v>0</v>
      </c>
      <c r="K16" s="79" t="s">
        <v>115</v>
      </c>
      <c r="L16" s="25">
        <f>SUMIF(Inmatning!$B$21:$B$40,"Tung lastbil",Inmatning!$H$21:$H$40)</f>
        <v>0</v>
      </c>
      <c r="M16" s="78" t="s">
        <v>111</v>
      </c>
    </row>
    <row r="17" spans="2:13" x14ac:dyDescent="0.25">
      <c r="B17" s="27" t="s">
        <v>15</v>
      </c>
      <c r="C17" s="29">
        <f>SUMIF(Inmatning!$B$21:$B$40,"Cykel",Inmatning!$L$21:$L$40)</f>
        <v>0</v>
      </c>
      <c r="D17" s="29">
        <f>SUMIF(Inmatning!$B$21:$B$40,"Cykel",Inmatning!$M$21:$M$40)</f>
        <v>0</v>
      </c>
      <c r="E17" s="29">
        <f>SUMIF(Inmatning!$B$21:$B$40,"Cykel",Inmatning!$N$21:$N$40)</f>
        <v>0</v>
      </c>
      <c r="G17" s="30" t="s">
        <v>15</v>
      </c>
      <c r="H17" s="25">
        <f>SUMIF(Inmatning!$B$21:$B$40,"Cykel",Inmatning!$C$21:$C$40)</f>
        <v>0</v>
      </c>
      <c r="I17" s="76" t="s">
        <v>85</v>
      </c>
      <c r="J17" s="25">
        <f>SUMIFS(Inmatning!C21:C40,Inmatning!B21:B40,"Cykel",Inmatning!E21:E40,"-")+SUMIFS(Inmatning!C21:C40,Inmatning!B21:B40,"Cykel",Inmatning!E21:E40,"El")</f>
        <v>0</v>
      </c>
      <c r="K17" s="79" t="s">
        <v>115</v>
      </c>
      <c r="L17" s="25">
        <f>SUMIF(Inmatning!$B$21:$B$40,"Cykel",Inmatning!$H$21:$H$40)</f>
        <v>0</v>
      </c>
      <c r="M17" s="78" t="s">
        <v>111</v>
      </c>
    </row>
    <row r="18" spans="2:13" x14ac:dyDescent="0.25">
      <c r="B18" s="27" t="s">
        <v>68</v>
      </c>
      <c r="C18" s="29">
        <f>SUMIF(Inmatning!$B$21:$B$40,"Moped",Inmatning!$L$21:$L$40)+SUMIF(Inmatning!$B$21:$B$40,"Motorcykel",Inmatning!$L$21:$L$40)</f>
        <v>0</v>
      </c>
      <c r="D18" s="29">
        <f>SUMIF(Inmatning!$B$21:$B$40,"Moped",Inmatning!$M$21:$M$40)+SUMIF(Inmatning!$B$21:$B$40,"Motorcykel",Inmatning!$M$21:$M$40)</f>
        <v>0</v>
      </c>
      <c r="E18" s="29">
        <f>SUMIF(Inmatning!$B$21:$B$40,"Moped",Inmatning!$N$21:$N$40)+SUMIF(Inmatning!$B$21:$B$40,"Motorcykel",Inmatning!$N$21:$N$40)</f>
        <v>0</v>
      </c>
      <c r="G18" s="30" t="s">
        <v>68</v>
      </c>
      <c r="H18" s="25">
        <f>SUMIF(Inmatning!$B$21:$B$40,"Moped",Inmatning!$C$21:$C$40)+SUMIF(Inmatning!$B$21:$B$40,"Motorcykel",Inmatning!$C$21:$C$40)</f>
        <v>0</v>
      </c>
      <c r="I18" s="76" t="s">
        <v>85</v>
      </c>
      <c r="J18" s="25">
        <f>SUMIFS(Inmatning!C21:C40,Inmatning!B21:B40,"Motorcykel",Inmatning!E21:E40,"Biodiesel (HVO 100%)")+SUMIFS(Inmatning!C21:C40,Inmatning!B21:B40,"Motorcykel",Inmatning!E21:E40,"Biogas")+SUMIFS(Inmatning!C21:C40,Inmatning!B21:B40,"Motorcykel",Inmatning!E21:E40,"El")+SUMIFS(Inmatning!C21:C40,Inmatning!B21:B40,"Moped",Inmatning!E21:E40,"Biodiesel (HVO 100%)")+SUMIFS(Inmatning!C21:C40,Inmatning!B21:B40,"Moped",Inmatning!E21:E40,"Biogas")+SUMIFS(Inmatning!C21:C40,Inmatning!B21:B40,"Moped",Inmatning!E21:E40,"El")</f>
        <v>0</v>
      </c>
      <c r="K18" s="79" t="s">
        <v>115</v>
      </c>
      <c r="L18" s="25">
        <f>SUMIF(Inmatning!$B$21:$B$40,"Moped",Inmatning!$H$21:$H$40)+SUMIF(Inmatning!$B$21:$B$40,"Motorcykel",Inmatning!$H$21:$H$40)</f>
        <v>0</v>
      </c>
      <c r="M18" s="78" t="s">
        <v>111</v>
      </c>
    </row>
    <row r="19" spans="2:13" x14ac:dyDescent="0.25">
      <c r="B19" s="28" t="s">
        <v>67</v>
      </c>
      <c r="C19" s="29">
        <f>SUMIF(Inmatning!$B$21:$B$40,"Tunnelbana",Inmatning!$L$21:$L$40)+SUMIF(Inmatning!$B$21:$B$40,"Pendeltåg",Inmatning!$L$21:$L$40)+SUMIF(Inmatning!$B$21:$B$40,"Regionaltåg",Inmatning!$L$21:$L$40)+SUMIF(Inmatning!$B$21:$B$40,"Snabbtåg",Inmatning!$L$21:$L$40)+SUMIF(Inmatning!$B$21:$B$40,"Intercitytåg",Inmatning!$L$21:$L$40)</f>
        <v>0</v>
      </c>
      <c r="D19" s="29">
        <f>SUMIF(Inmatning!$B$21:$B$40,"Tunnelbana",Inmatning!$M$21:$M$40)+SUMIF(Inmatning!$B$21:$B$40,"Pendeltåg",Inmatning!$M$21:$M$40)+SUMIF(Inmatning!$B$21:$B$40,"Regionaltåg",Inmatning!$M$21:$M$40)+SUMIF(Inmatning!$B$21:$B$40,"Snabbtåg",Inmatning!$M$21:$M$40)+SUMIF(Inmatning!$B$21:$B$40,"Intercitytåg",Inmatning!$M$21:$M$40)</f>
        <v>0</v>
      </c>
      <c r="E19" s="29">
        <f>SUMIF(Inmatning!$B$21:$B$40,"Tunnelbana",Inmatning!$N$21:$N$40)+SUMIF(Inmatning!$B$21:$B$40,"Pendeltåg",Inmatning!$N$21:$N$40)+SUMIF(Inmatning!$B$21:$B$40,"Regionaltåg",Inmatning!$N$21:$N$40)+SUMIF(Inmatning!$B$21:$B$40,"Snabbtåg",Inmatning!$N$21:$N$40)+SUMIF(Inmatning!$B$21:$B$40,"Intercitytåg",Inmatning!$N$21:$N$40)</f>
        <v>0</v>
      </c>
      <c r="G19" s="30" t="s">
        <v>67</v>
      </c>
      <c r="H19" s="25">
        <f>SUMIF(Inmatning!$B$21:$B$40,"Tunnelbana",Inmatning!$C$21:$C$40)+SUMIF(Inmatning!$B$21:$B$40,"Pendeltåg",Inmatning!$C$21:$C$40)+SUMIF(Inmatning!$B$21:$B$40,"Regionaltåg",Inmatning!$C$21:$C$40)+SUMIF(Inmatning!$B$21:$B$40,"Snabbtåg",Inmatning!$C$21:$C$40)+SUMIF(Inmatning!$B$21:$B$40,"Intercitytåg",Inmatning!$C$21:$C$40)</f>
        <v>0</v>
      </c>
      <c r="I19" s="76" t="s">
        <v>85</v>
      </c>
      <c r="J19" s="25">
        <f>H19</f>
        <v>0</v>
      </c>
      <c r="K19" s="79" t="s">
        <v>115</v>
      </c>
      <c r="L19" s="25">
        <f>SUMIF(Inmatning!$B$21:$B$40,"Tunnelbana",Inmatning!$H$21:$H$40)+SUMIF(Inmatning!$B$21:$B$40,"Pendeltåg",Inmatning!$H$21:$H$40)+SUMIF(Inmatning!$B$21:$B$40,"Regionaltåg",Inmatning!$H$21:$H$40)+SUMIF(Inmatning!$B$21:$B$40,"Snabbtåg",Inmatning!$H$21:$H$40)+SUMIF(Inmatning!$B$21:$B$40,"Intercitytåg",Inmatning!$H$21:$H$40)</f>
        <v>0</v>
      </c>
      <c r="M19" s="78" t="s">
        <v>111</v>
      </c>
    </row>
    <row r="20" spans="2:13" x14ac:dyDescent="0.25">
      <c r="B20" s="27" t="s">
        <v>76</v>
      </c>
      <c r="C20" s="29">
        <f>SUMIF(Inmatning!$B$21:$B$40,"Stadsbuss",Inmatning!$L$21:$L$40)+SUMIF(Inmatning!$B$21:$B$40,"Långfärdsbuss",Inmatning!$L$21:$L$40)</f>
        <v>0</v>
      </c>
      <c r="D20" s="29">
        <f>SUMIF(Inmatning!$B$21:$B$40,"Stadsbuss",Inmatning!$M$21:$M$40)+SUMIF(Inmatning!$B$21:$B$40,"Långfärdsbuss",Inmatning!$M$21:$M$40)</f>
        <v>0</v>
      </c>
      <c r="E20" s="29">
        <f>SUMIF(Inmatning!$B$21:$B$40,"Stadsbuss",Inmatning!$N$21:$N$40)+SUMIF(Inmatning!$B$21:$B$40,"Långfärdsbuss",Inmatning!$N$21:$N$40)</f>
        <v>0</v>
      </c>
      <c r="G20" s="30" t="s">
        <v>76</v>
      </c>
      <c r="H20" s="25">
        <f>SUMIF(Inmatning!$B$21:$B$40,"Stadsbuss",Inmatning!$C$21:$C$40)+SUMIF(Inmatning!$B$21:$B$40,"Långfärdsbuss",Inmatning!$C$21:$C$40)</f>
        <v>0</v>
      </c>
      <c r="I20" s="76" t="s">
        <v>85</v>
      </c>
      <c r="J20" s="25">
        <f>SUMIFS(Inmatning!C21:C40,Inmatning!B21:B40,"Stadsbuss",Inmatning!E21:E40,"Biodiesel (HVO 100%)")+SUMIFS(Inmatning!C21:C40,Inmatning!B21:B40,"Stadsbuss",Inmatning!E21:E40,"Biogas")+SUMIFS(Inmatning!C21:C40,Inmatning!B21:B40,"Stadsbuss",Inmatning!E21:E40,"El")+SUMIFS(Inmatning!C21:C40,Inmatning!B21:B40,"Långfärdsbuss",Inmatning!E21:E40,"Biodiesel (HVO 100%)")+SUMIFS(Inmatning!C21:C40,Inmatning!B21:B40,"Långfärdsbuss",Inmatning!E21:E40,"Biogas")+SUMIFS(Inmatning!C21:C40,Inmatning!B21:B40,"Långfärdsbuss",Inmatning!E21:E40,"El")</f>
        <v>0</v>
      </c>
      <c r="K20" s="79" t="s">
        <v>115</v>
      </c>
      <c r="L20" s="25">
        <f>SUMIF(Inmatning!$B$21:$B$40,"Stadsbuss",Inmatning!$H$21:$H$40)+SUMIF(Inmatning!$B$21:$B$40,"Långfärdsbuss",Inmatning!$H$21:$H$40)</f>
        <v>0</v>
      </c>
      <c r="M20" s="78" t="s">
        <v>111</v>
      </c>
    </row>
    <row r="21" spans="2:13" ht="18" customHeight="1" x14ac:dyDescent="0.25">
      <c r="B21" s="18"/>
    </row>
    <row r="22" spans="2:13" ht="30" customHeight="1" x14ac:dyDescent="0.25">
      <c r="B22" s="160" t="s">
        <v>117</v>
      </c>
      <c r="C22" s="160"/>
      <c r="D22" s="160"/>
      <c r="E22" s="160"/>
      <c r="G22" s="159" t="s">
        <v>112</v>
      </c>
      <c r="H22" s="159"/>
      <c r="I22" s="159"/>
      <c r="J22" s="159"/>
      <c r="K22" s="159"/>
      <c r="L22" s="159"/>
      <c r="M22" s="159"/>
    </row>
    <row r="23" spans="2:13" x14ac:dyDescent="0.25">
      <c r="B23" s="26" t="s">
        <v>23</v>
      </c>
      <c r="C23" s="29">
        <f ca="1">SUMIF(Inmatning!$E$21:$E$40,"Bensin",Inmatning!$L$21:$L$40)+(SUMIF(Inmatning!$E$21:$E$40,"Flexifuel etanol/bensin",Inmatning!$F$22:$F$40)+SUMIF(Inmatning!$E$21:$E$40,"Bifuel gas/bensin",Inmatning!$F$22:$F$40)+SUMIF(Inmatning!$E$21:$E$40,"Laddhybrid bensin",Inmatning!$F$22:$F$40))*Data!S3</f>
        <v>22.400000000000002</v>
      </c>
      <c r="D23" s="29">
        <f ca="1">SUMIF(Inmatning!$E$21:$E$40,"Bensin",Inmatning!$M$21:$M$40)+(SUMIF(Inmatning!$E$21:$E$40,"Flexifuel etanol/bensin",Inmatning!$F$22:$F$40)+SUMIF(Inmatning!$E$21:$E$40,"Bifuel gas/bensin",Inmatning!$F$22:$F$40)+SUMIF(Inmatning!$E$21:$E$40,"Laddhybrid bensin",Inmatning!$F$22:$F$40))*Data!T3</f>
        <v>27.00399130289108</v>
      </c>
      <c r="E23" s="29">
        <f ca="1">SUMIF(Inmatning!$E$21:$E$40,"Bensin",Inmatning!$N$21:$N$40)+(SUMIF(Inmatning!$E$21:$E$40,"Flexifuel etanol/bensin",Inmatning!$F$22:$F$40)+SUMIF(Inmatning!$E$21:$E$40,"Bifuel gas/bensin",Inmatning!$F$22:$F$40)+SUMIF(Inmatning!$E$21:$E$40,"Laddhybrid bensin",Inmatning!$F$22:$F$40))*Data!U3</f>
        <v>91</v>
      </c>
      <c r="G23" s="71" t="s">
        <v>23</v>
      </c>
      <c r="H23" s="72">
        <f ca="1">E23/Data!U3</f>
        <v>10</v>
      </c>
      <c r="I23" s="73" t="s">
        <v>34</v>
      </c>
      <c r="J23" s="72">
        <f ca="1">H23*Data!V3</f>
        <v>160</v>
      </c>
      <c r="K23" s="77" t="s">
        <v>101</v>
      </c>
      <c r="L23" s="75">
        <f>Inmatning!M12</f>
        <v>16</v>
      </c>
      <c r="M23" s="77" t="s">
        <v>118</v>
      </c>
    </row>
    <row r="24" spans="2:13" x14ac:dyDescent="0.25">
      <c r="B24" s="26" t="s">
        <v>24</v>
      </c>
      <c r="C24" s="29">
        <f ca="1">SUMIF(Inmatning!$E$21:$E$40,"Diesel",Inmatning!$L$21:$L$40)+SUMIF(Inmatning!$E$21:$E$40,"Laddhybrid diesel",Inmatning!$F$22:$F$40)*Data!S4</f>
        <v>42.721600000000002</v>
      </c>
      <c r="D24" s="29">
        <f ca="1">SUMIF(Inmatning!$E$21:$E$40,"Diesel",Inmatning!$M$21:$M$40)+SUMIF(Inmatning!$E$21:$E$40,"Laddhybrid diesel",Inmatning!$F$22:$F$40)*Data!T4</f>
        <v>52.031602841746583</v>
      </c>
      <c r="E24" s="29">
        <f ca="1">SUMIF(Inmatning!$E$21:$E$40,"Diesel",Inmatning!$N$21:$N$40)+SUMIF(Inmatning!$E$21:$E$40,"Laddhybrid diesel",Inmatning!$F$22:$F$40)*Data!U4</f>
        <v>196</v>
      </c>
      <c r="G24" s="71" t="s">
        <v>24</v>
      </c>
      <c r="H24" s="72">
        <f ca="1">E24/Data!U4</f>
        <v>20</v>
      </c>
      <c r="I24" s="74" t="s">
        <v>34</v>
      </c>
      <c r="J24" s="72">
        <f ca="1">H24*Data!V4</f>
        <v>330</v>
      </c>
      <c r="K24" s="77" t="s">
        <v>101</v>
      </c>
      <c r="L24" s="75">
        <f>Inmatning!M13</f>
        <v>16.5</v>
      </c>
      <c r="M24" s="77" t="s">
        <v>118</v>
      </c>
    </row>
    <row r="25" spans="2:13" x14ac:dyDescent="0.25">
      <c r="B25" s="26" t="s">
        <v>25</v>
      </c>
      <c r="C25" s="29">
        <f>SUMIF(Inmatning!$E$21:$E$40,"Biodesel (HVO 100%)",Inmatning!$L$21:$L$40)</f>
        <v>0</v>
      </c>
      <c r="D25" s="29">
        <f>SUMIF(Inmatning!$E$21:$E$40,"Biodesel (HVO 100%)",Inmatning!$M$21:$M$40)</f>
        <v>0</v>
      </c>
      <c r="E25" s="29">
        <f>SUMIF(Inmatning!$E$21:$E$40,"Biodiesel (HVO 100%)",Inmatning!$N$21:$N$40)</f>
        <v>0</v>
      </c>
      <c r="G25" s="71" t="s">
        <v>25</v>
      </c>
      <c r="H25" s="72">
        <f>E25/Data!U5</f>
        <v>0</v>
      </c>
      <c r="I25" s="74" t="s">
        <v>34</v>
      </c>
      <c r="J25" s="72">
        <f>H25*Data!V5</f>
        <v>0</v>
      </c>
      <c r="K25" s="77" t="s">
        <v>101</v>
      </c>
      <c r="L25" s="75">
        <f>Inmatning!M14</f>
        <v>17.5</v>
      </c>
      <c r="M25" s="77" t="s">
        <v>118</v>
      </c>
    </row>
    <row r="26" spans="2:13" x14ac:dyDescent="0.25">
      <c r="B26" s="26" t="s">
        <v>26</v>
      </c>
      <c r="C26" s="29">
        <f ca="1">SUMIF(Inmatning!$E$21:$E$40,"Etanol (E85)",Inmatning!$L$21:$L$40)+(SUMIF(Inmatning!$E$21:$E$40,"Flexifuel etanol/bensin",Inmatning!$F$21:$F$39)*Data!S6)</f>
        <v>0</v>
      </c>
      <c r="D26" s="29">
        <f ca="1">SUMIF(Inmatning!$E$21:$E$40,"Etanol (E85)",Inmatning!$M$21:$M$40)+(SUMIF(Inmatning!$E$21:$E$40,"Flexifuel etanol/bensin",Inmatning!$F$21:$F$39)*Data!T6)</f>
        <v>0</v>
      </c>
      <c r="E26" s="29">
        <f ca="1">SUMIF(Inmatning!$E$21:$E$40,"Etanol (E85)",Inmatning!$M$21:$M$40)+(SUMIF(Inmatning!$E$21:$E$40,"Flexifuel etanol/bensin",Inmatning!$F$21:$F$39)*Data!U6)</f>
        <v>0</v>
      </c>
      <c r="G26" s="71" t="s">
        <v>26</v>
      </c>
      <c r="H26" s="72">
        <f ca="1">E26/Data!U6</f>
        <v>0</v>
      </c>
      <c r="I26" s="74" t="s">
        <v>34</v>
      </c>
      <c r="J26" s="72">
        <f ca="1">H26*Data!V6</f>
        <v>0</v>
      </c>
      <c r="K26" s="77" t="s">
        <v>101</v>
      </c>
      <c r="L26" s="75">
        <f>Inmatning!M15</f>
        <v>13.3</v>
      </c>
      <c r="M26" s="77" t="s">
        <v>118</v>
      </c>
    </row>
    <row r="27" spans="2:13" x14ac:dyDescent="0.25">
      <c r="B27" s="26" t="s">
        <v>27</v>
      </c>
      <c r="C27" s="29">
        <f ca="1">SUMIF(Inmatning!$E$21:$E$40,"Fordonsgas (blandning)",Inmatning!$L$21:$L$40)+(SUMIF(Inmatning!$E$21:$E$40,"Bifuel gas/bensin",Inmatning!$F$21:$F$39)*Data!S7)</f>
        <v>0</v>
      </c>
      <c r="D27" s="29">
        <f ca="1">SUMIF(Inmatning!$E$21:$E$40,"Fordonsgas (blandning)",Inmatning!$M$21:$M$40)+(SUMIF(Inmatning!$E$21:$E$40,"Bifuel gas/bensin",Inmatning!$F$21:$F$39)*Data!T7)</f>
        <v>0</v>
      </c>
      <c r="E27" s="29">
        <f ca="1">SUMIF(Inmatning!$E$21:$E$40,"Fordonsgas (blandning)",Inmatning!$N$21:$N$40)+(SUMIF(Inmatning!$E$21:$E$40,"Bifuel gas/bensin",Inmatning!$F$21:$F$39)*Data!U7)</f>
        <v>0</v>
      </c>
      <c r="G27" s="71" t="s">
        <v>27</v>
      </c>
      <c r="H27" s="72">
        <f ca="1">E27/Data!U7</f>
        <v>0</v>
      </c>
      <c r="I27" s="74" t="s">
        <v>35</v>
      </c>
      <c r="J27" s="72">
        <f ca="1">H27*Data!V7</f>
        <v>0</v>
      </c>
      <c r="K27" s="77" t="s">
        <v>101</v>
      </c>
      <c r="L27" s="75">
        <f>Inmatning!M16</f>
        <v>18.5</v>
      </c>
      <c r="M27" s="77" t="s">
        <v>119</v>
      </c>
    </row>
    <row r="28" spans="2:13" x14ac:dyDescent="0.25">
      <c r="B28" s="26" t="s">
        <v>28</v>
      </c>
      <c r="C28" s="29">
        <f>SUMIF(Inmatning!$E$21:$E$40,"Biogas",Inmatning!$L$21:$L$40)</f>
        <v>0</v>
      </c>
      <c r="D28" s="29">
        <f>SUMIF(Inmatning!$E$21:$E$40,"Biogas",Inmatning!$M$21:$M$40)</f>
        <v>12.449233991654193</v>
      </c>
      <c r="E28" s="29">
        <f>SUMIF(Inmatning!$E$21:$E$40,"Biogas",Inmatning!$N$21:$N$40)</f>
        <v>198.76923076923077</v>
      </c>
      <c r="G28" s="71" t="s">
        <v>28</v>
      </c>
      <c r="H28" s="72">
        <f>E28/Data!U8</f>
        <v>15.384615384615385</v>
      </c>
      <c r="I28" s="74" t="s">
        <v>35</v>
      </c>
      <c r="J28" s="72">
        <f>H28*Data!V8</f>
        <v>300</v>
      </c>
      <c r="K28" s="77" t="s">
        <v>101</v>
      </c>
      <c r="L28" s="75">
        <f>Inmatning!M17</f>
        <v>19.5</v>
      </c>
      <c r="M28" s="77" t="s">
        <v>119</v>
      </c>
    </row>
    <row r="29" spans="2:13" x14ac:dyDescent="0.25">
      <c r="B29" s="26" t="s">
        <v>29</v>
      </c>
      <c r="C29" s="29">
        <f ca="1">SUMIF(Inmatning!$E$21:$E$40,"El",Inmatning!$L$21:$L$40)+(SUMIF(Inmatning!$E$21:$E$40,"Laddhybrid bensin",Inmatning!$F$21:$F$39)+SUMIF(Inmatning!$E$21:$E$40,"Laddhybrid diesel",Inmatning!$F$21:$F$39))*Data!S9</f>
        <v>0</v>
      </c>
      <c r="D29" s="29">
        <f ca="1">SUMIF(Inmatning!$E$21:$E$40,"El",Inmatning!$M$21:$M$40)+(SUMIF(Inmatning!$E$21:$E$40,"Laddhybrid bensin",Inmatning!$F$21:$F$39)+SUMIF(Inmatning!$E$21:$E$40,"Laddhybrid diesel",Inmatning!$F$21:$F$39))*Data!T9</f>
        <v>0</v>
      </c>
      <c r="E29" s="29">
        <f ca="1">SUMIF(Inmatning!$E$21:$E$40,"El",Inmatning!$N$21:$N$40)+(SUMIF(Inmatning!$E$21:$E$40,"Laddhybrid bensin",Inmatning!$F$21:$F$39)+SUMIF(Inmatning!$E$21:$E$40,"Laddhybrid diesel",Inmatning!$F$21:$F$39))*Data!U9</f>
        <v>0</v>
      </c>
      <c r="G29" s="71" t="s">
        <v>29</v>
      </c>
      <c r="H29" s="72">
        <f ca="1">E29/Data!U9</f>
        <v>0</v>
      </c>
      <c r="I29" s="74" t="s">
        <v>8</v>
      </c>
      <c r="J29" s="72">
        <f ca="1">H29*Data!V9</f>
        <v>0</v>
      </c>
      <c r="K29" s="77" t="s">
        <v>101</v>
      </c>
      <c r="L29" s="75">
        <f>Inmatning!M18</f>
        <v>1.5</v>
      </c>
      <c r="M29" s="77" t="s">
        <v>120</v>
      </c>
    </row>
  </sheetData>
  <sheetProtection algorithmName="SHA-512" hashValue="rNVHcCEkdpyIhmRFAZFNWFQlrfTtsgCqjf6oqAlgF5N9ekCeisVYCuwQY/9xrGcAXLYe/+rJcXOBfVjqUX4b4g==" saltValue="ndQgcPtNCZs/EDC7TrYElw==" spinCount="100000" sheet="1" objects="1" scenarios="1"/>
  <mergeCells count="10">
    <mergeCell ref="B2:E2"/>
    <mergeCell ref="B3:E5"/>
    <mergeCell ref="G12:M12"/>
    <mergeCell ref="G22:M22"/>
    <mergeCell ref="B22:E22"/>
    <mergeCell ref="C8:C9"/>
    <mergeCell ref="D8:D9"/>
    <mergeCell ref="E8:E9"/>
    <mergeCell ref="B8:B9"/>
    <mergeCell ref="B12:E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77452-DDB2-49D8-97A2-1E0F8E56B94A}">
  <sheetPr>
    <tabColor theme="8" tint="0.59999389629810485"/>
  </sheetPr>
  <dimension ref="B1:K46"/>
  <sheetViews>
    <sheetView workbookViewId="0"/>
  </sheetViews>
  <sheetFormatPr defaultColWidth="9.140625" defaultRowHeight="15" x14ac:dyDescent="0.25"/>
  <cols>
    <col min="1" max="1" width="9.140625" style="4"/>
    <col min="2" max="2" width="25.140625" style="4" customWidth="1"/>
    <col min="3" max="4" width="9.140625" style="4"/>
    <col min="5" max="5" width="21.7109375" style="4" customWidth="1"/>
    <col min="6" max="17" width="9.140625" style="4"/>
    <col min="18" max="18" width="9.140625" style="4" customWidth="1"/>
    <col min="19" max="16384" width="9.140625" style="4"/>
  </cols>
  <sheetData>
    <row r="1" spans="2:11" ht="15.75" thickBot="1" x14ac:dyDescent="0.3"/>
    <row r="2" spans="2:11" ht="27.75" customHeight="1" x14ac:dyDescent="0.25">
      <c r="B2" s="149" t="s">
        <v>121</v>
      </c>
      <c r="C2" s="150"/>
      <c r="D2" s="150"/>
      <c r="E2" s="150"/>
      <c r="F2" s="150"/>
      <c r="G2" s="151"/>
    </row>
    <row r="3" spans="2:11" x14ac:dyDescent="0.25">
      <c r="B3" s="152" t="s">
        <v>125</v>
      </c>
      <c r="C3" s="165"/>
      <c r="D3" s="165"/>
      <c r="E3" s="165"/>
      <c r="F3" s="165"/>
      <c r="G3" s="166"/>
    </row>
    <row r="4" spans="2:11" x14ac:dyDescent="0.25">
      <c r="B4" s="167"/>
      <c r="C4" s="165"/>
      <c r="D4" s="165"/>
      <c r="E4" s="165"/>
      <c r="F4" s="165"/>
      <c r="G4" s="166"/>
    </row>
    <row r="5" spans="2:11" x14ac:dyDescent="0.25">
      <c r="B5" s="167"/>
      <c r="C5" s="165"/>
      <c r="D5" s="165"/>
      <c r="E5" s="165"/>
      <c r="F5" s="165"/>
      <c r="G5" s="166"/>
    </row>
    <row r="6" spans="2:11" x14ac:dyDescent="0.25">
      <c r="B6" s="167"/>
      <c r="C6" s="165"/>
      <c r="D6" s="165"/>
      <c r="E6" s="165"/>
      <c r="F6" s="165"/>
      <c r="G6" s="166"/>
    </row>
    <row r="7" spans="2:11" x14ac:dyDescent="0.25">
      <c r="B7" s="167"/>
      <c r="C7" s="165"/>
      <c r="D7" s="165"/>
      <c r="E7" s="165"/>
      <c r="F7" s="165"/>
      <c r="G7" s="166"/>
    </row>
    <row r="8" spans="2:11" x14ac:dyDescent="0.25">
      <c r="B8" s="167"/>
      <c r="C8" s="165"/>
      <c r="D8" s="165"/>
      <c r="E8" s="165"/>
      <c r="F8" s="165"/>
      <c r="G8" s="166"/>
    </row>
    <row r="9" spans="2:11" ht="15.75" thickBot="1" x14ac:dyDescent="0.3">
      <c r="B9" s="168"/>
      <c r="C9" s="169"/>
      <c r="D9" s="169"/>
      <c r="E9" s="169"/>
      <c r="F9" s="169"/>
      <c r="G9" s="170"/>
    </row>
    <row r="10" spans="2:11" s="81" customFormat="1" x14ac:dyDescent="0.25"/>
    <row r="11" spans="2:11" x14ac:dyDescent="0.25">
      <c r="B11" s="4" t="s">
        <v>72</v>
      </c>
      <c r="H11" s="38"/>
      <c r="I11" s="38"/>
      <c r="J11" s="4" t="s">
        <v>124</v>
      </c>
    </row>
    <row r="12" spans="2:11" x14ac:dyDescent="0.25">
      <c r="B12" s="4" t="s">
        <v>73</v>
      </c>
      <c r="C12" s="4">
        <f ca="1">Summering!E23+Summering!E24+Summering!E26+Summering!E27</f>
        <v>287</v>
      </c>
      <c r="H12" s="38"/>
      <c r="I12" s="38"/>
      <c r="J12" s="4" t="s">
        <v>23</v>
      </c>
      <c r="K12" s="4">
        <f ca="1">Summering!D23</f>
        <v>27.00399130289108</v>
      </c>
    </row>
    <row r="13" spans="2:11" x14ac:dyDescent="0.25">
      <c r="B13" s="4" t="s">
        <v>25</v>
      </c>
      <c r="C13" s="4">
        <f>Summering!E25</f>
        <v>0</v>
      </c>
      <c r="H13" s="38"/>
      <c r="I13" s="38"/>
      <c r="J13" s="4" t="s">
        <v>24</v>
      </c>
      <c r="K13" s="4">
        <f ca="1">Summering!D24</f>
        <v>52.031602841746583</v>
      </c>
    </row>
    <row r="14" spans="2:11" x14ac:dyDescent="0.25">
      <c r="B14" s="4" t="s">
        <v>28</v>
      </c>
      <c r="C14" s="4">
        <f>Summering!E28</f>
        <v>198.76923076923077</v>
      </c>
      <c r="H14" s="38"/>
      <c r="I14" s="38"/>
      <c r="J14" s="4" t="s">
        <v>25</v>
      </c>
      <c r="K14" s="4">
        <f>Summering!D25</f>
        <v>0</v>
      </c>
    </row>
    <row r="15" spans="2:11" x14ac:dyDescent="0.25">
      <c r="B15" s="4" t="s">
        <v>29</v>
      </c>
      <c r="C15" s="4">
        <f ca="1">Summering!E29</f>
        <v>0</v>
      </c>
      <c r="H15" s="38"/>
      <c r="I15" s="38"/>
      <c r="J15" s="4" t="s">
        <v>26</v>
      </c>
      <c r="K15" s="4">
        <f ca="1">Summering!D26</f>
        <v>0</v>
      </c>
    </row>
    <row r="16" spans="2:11" x14ac:dyDescent="0.25">
      <c r="H16" s="38"/>
      <c r="I16" s="38"/>
      <c r="J16" s="4" t="s">
        <v>27</v>
      </c>
      <c r="K16" s="4">
        <f ca="1">Summering!D27</f>
        <v>0</v>
      </c>
    </row>
    <row r="17" spans="2:11" x14ac:dyDescent="0.25">
      <c r="H17" s="38"/>
      <c r="I17" s="38"/>
      <c r="J17" s="4" t="s">
        <v>28</v>
      </c>
      <c r="K17" s="4">
        <f>Summering!D28</f>
        <v>12.449233991654193</v>
      </c>
    </row>
    <row r="18" spans="2:11" x14ac:dyDescent="0.25">
      <c r="H18" s="38"/>
      <c r="I18" s="38"/>
      <c r="J18" s="4" t="s">
        <v>29</v>
      </c>
      <c r="K18" s="4">
        <f ca="1">Summering!D29</f>
        <v>0</v>
      </c>
    </row>
    <row r="19" spans="2:11" x14ac:dyDescent="0.25">
      <c r="H19" s="38"/>
      <c r="I19" s="38"/>
    </row>
    <row r="20" spans="2:11" x14ac:dyDescent="0.25">
      <c r="H20" s="38"/>
      <c r="I20" s="38"/>
    </row>
    <row r="21" spans="2:11" x14ac:dyDescent="0.25">
      <c r="H21" s="38"/>
      <c r="I21" s="38"/>
    </row>
    <row r="22" spans="2:11" x14ac:dyDescent="0.25">
      <c r="H22" s="38"/>
      <c r="I22" s="38"/>
    </row>
    <row r="23" spans="2:11" x14ac:dyDescent="0.25">
      <c r="H23" s="38"/>
      <c r="I23" s="38"/>
    </row>
    <row r="24" spans="2:11" x14ac:dyDescent="0.25">
      <c r="H24" s="38"/>
      <c r="I24" s="38"/>
    </row>
    <row r="25" spans="2:11" x14ac:dyDescent="0.25">
      <c r="H25" s="38"/>
      <c r="I25" s="38"/>
    </row>
    <row r="26" spans="2:11" x14ac:dyDescent="0.25">
      <c r="G26" s="38"/>
      <c r="H26" s="38"/>
      <c r="I26" s="38"/>
      <c r="J26" s="38"/>
    </row>
    <row r="27" spans="2:11" x14ac:dyDescent="0.25">
      <c r="G27" s="81"/>
      <c r="H27" s="81"/>
      <c r="I27" s="81"/>
      <c r="J27" s="81"/>
    </row>
    <row r="28" spans="2:11" s="32" customFormat="1" x14ac:dyDescent="0.25">
      <c r="G28" s="38"/>
      <c r="H28" s="38"/>
      <c r="I28" s="38"/>
      <c r="J28" s="38"/>
    </row>
    <row r="29" spans="2:11" x14ac:dyDescent="0.25">
      <c r="B29" s="4" t="s">
        <v>74</v>
      </c>
      <c r="E29" s="4" t="s">
        <v>79</v>
      </c>
    </row>
    <row r="30" spans="2:11" x14ac:dyDescent="0.25">
      <c r="B30" s="4" t="s">
        <v>77</v>
      </c>
      <c r="C30" s="4">
        <f>Summering!H13-Summering!J13</f>
        <v>3</v>
      </c>
      <c r="E30" s="4" t="s">
        <v>78</v>
      </c>
      <c r="F30" s="4">
        <f>Summering!J13</f>
        <v>1</v>
      </c>
    </row>
    <row r="31" spans="2:11" x14ac:dyDescent="0.25">
      <c r="B31" s="4" t="s">
        <v>10</v>
      </c>
      <c r="C31" s="4">
        <f>Summering!J14</f>
        <v>1</v>
      </c>
      <c r="E31" s="4" t="s">
        <v>10</v>
      </c>
      <c r="F31" s="4">
        <f>Summering!H14-Summering!J14</f>
        <v>2</v>
      </c>
    </row>
    <row r="32" spans="2:11" x14ac:dyDescent="0.25">
      <c r="B32" s="4" t="s">
        <v>11</v>
      </c>
      <c r="C32" s="4">
        <f>Summering!J15</f>
        <v>0</v>
      </c>
      <c r="E32" s="4" t="s">
        <v>11</v>
      </c>
      <c r="F32" s="4">
        <f>Summering!H15-Summering!J15</f>
        <v>1</v>
      </c>
    </row>
    <row r="33" spans="2:6" x14ac:dyDescent="0.25">
      <c r="B33" s="4" t="s">
        <v>12</v>
      </c>
      <c r="C33" s="4">
        <f>Summering!J16</f>
        <v>0</v>
      </c>
      <c r="E33" s="4" t="s">
        <v>12</v>
      </c>
      <c r="F33" s="4">
        <f>Summering!H16-Summering!J16</f>
        <v>0</v>
      </c>
    </row>
    <row r="34" spans="2:6" x14ac:dyDescent="0.25">
      <c r="B34" s="4" t="s">
        <v>15</v>
      </c>
      <c r="C34" s="4">
        <f>Summering!J17</f>
        <v>0</v>
      </c>
      <c r="E34" s="4" t="s">
        <v>15</v>
      </c>
      <c r="F34" s="4">
        <f>Summering!H17-Summering!J17</f>
        <v>0</v>
      </c>
    </row>
    <row r="35" spans="2:6" x14ac:dyDescent="0.25">
      <c r="B35" s="4" t="s">
        <v>68</v>
      </c>
      <c r="C35" s="4">
        <f>Summering!J18</f>
        <v>0</v>
      </c>
      <c r="E35" s="4" t="s">
        <v>68</v>
      </c>
      <c r="F35" s="4">
        <f>Summering!H18-Summering!J18</f>
        <v>0</v>
      </c>
    </row>
    <row r="36" spans="2:6" x14ac:dyDescent="0.25">
      <c r="B36" s="4" t="s">
        <v>67</v>
      </c>
      <c r="C36" s="4">
        <f>Summering!J19</f>
        <v>0</v>
      </c>
      <c r="E36" s="4" t="s">
        <v>67</v>
      </c>
      <c r="F36" s="4">
        <f>Summering!H19-Summering!J19</f>
        <v>0</v>
      </c>
    </row>
    <row r="37" spans="2:6" x14ac:dyDescent="0.25">
      <c r="B37" s="4" t="s">
        <v>76</v>
      </c>
      <c r="C37" s="4">
        <f>Summering!J20</f>
        <v>0</v>
      </c>
      <c r="E37" s="4" t="s">
        <v>76</v>
      </c>
      <c r="F37" s="4">
        <f>Summering!H20-Summering!J20</f>
        <v>0</v>
      </c>
    </row>
    <row r="46" spans="2:6" s="32" customFormat="1" x14ac:dyDescent="0.25">
      <c r="B46" s="63"/>
    </row>
  </sheetData>
  <sheetProtection algorithmName="SHA-512" hashValue="9Mw5QS/qcjrH2D3hjXM10J+ZxpIL9FQxEzY9MI/OtOfJ5IofLXtIVZWp8tqpjr3VcLG3gmJnAmH8EzLq3+dyHA==" saltValue="wbh4oyesgsfzK8iU7E/6EA==" spinCount="100000" sheet="1" objects="1" scenarios="1"/>
  <mergeCells count="2">
    <mergeCell ref="B2:G2"/>
    <mergeCell ref="B3:G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0DB23-DC92-4F09-A48A-1860FE0A140D}">
  <dimension ref="A1:B16"/>
  <sheetViews>
    <sheetView workbookViewId="0">
      <selection activeCell="E17" sqref="E17"/>
    </sheetView>
  </sheetViews>
  <sheetFormatPr defaultRowHeight="15" x14ac:dyDescent="0.25"/>
  <cols>
    <col min="1" max="1" width="25.85546875" bestFit="1" customWidth="1"/>
    <col min="2" max="2" width="22.140625" bestFit="1" customWidth="1"/>
  </cols>
  <sheetData>
    <row r="1" spans="1:2" x14ac:dyDescent="0.25">
      <c r="A1" t="s">
        <v>18</v>
      </c>
      <c r="B1" t="s">
        <v>2</v>
      </c>
    </row>
    <row r="2" spans="1:2" x14ac:dyDescent="0.25">
      <c r="A2" s="16" t="s">
        <v>9</v>
      </c>
      <c r="B2" s="16" t="s">
        <v>9</v>
      </c>
    </row>
    <row r="3" spans="1:2" x14ac:dyDescent="0.25">
      <c r="A3" t="s">
        <v>95</v>
      </c>
      <c r="B3" t="s">
        <v>23</v>
      </c>
    </row>
    <row r="4" spans="1:2" x14ac:dyDescent="0.25">
      <c r="A4" t="s">
        <v>10</v>
      </c>
      <c r="B4" t="s">
        <v>24</v>
      </c>
    </row>
    <row r="5" spans="1:2" x14ac:dyDescent="0.25">
      <c r="A5" t="s">
        <v>11</v>
      </c>
      <c r="B5" t="s">
        <v>25</v>
      </c>
    </row>
    <row r="6" spans="1:2" x14ac:dyDescent="0.25">
      <c r="A6" t="s">
        <v>12</v>
      </c>
      <c r="B6" t="s">
        <v>26</v>
      </c>
    </row>
    <row r="7" spans="1:2" x14ac:dyDescent="0.25">
      <c r="A7" t="s">
        <v>15</v>
      </c>
      <c r="B7" t="s">
        <v>27</v>
      </c>
    </row>
    <row r="8" spans="1:2" x14ac:dyDescent="0.25">
      <c r="A8" t="s">
        <v>13</v>
      </c>
      <c r="B8" t="s">
        <v>28</v>
      </c>
    </row>
    <row r="9" spans="1:2" x14ac:dyDescent="0.25">
      <c r="A9" t="s">
        <v>14</v>
      </c>
      <c r="B9" t="s">
        <v>29</v>
      </c>
    </row>
    <row r="10" spans="1:2" x14ac:dyDescent="0.25">
      <c r="A10" t="s">
        <v>16</v>
      </c>
      <c r="B10" t="s">
        <v>41</v>
      </c>
    </row>
    <row r="11" spans="1:2" x14ac:dyDescent="0.25">
      <c r="A11" t="s">
        <v>19</v>
      </c>
      <c r="B11" t="s">
        <v>30</v>
      </c>
    </row>
    <row r="12" spans="1:2" x14ac:dyDescent="0.25">
      <c r="A12" t="s">
        <v>20</v>
      </c>
      <c r="B12" t="s">
        <v>31</v>
      </c>
    </row>
    <row r="13" spans="1:2" x14ac:dyDescent="0.25">
      <c r="A13" t="s">
        <v>21</v>
      </c>
      <c r="B13" t="s">
        <v>32</v>
      </c>
    </row>
    <row r="14" spans="1:2" x14ac:dyDescent="0.25">
      <c r="A14" t="s">
        <v>22</v>
      </c>
    </row>
    <row r="15" spans="1:2" x14ac:dyDescent="0.25">
      <c r="A15" t="s">
        <v>39</v>
      </c>
    </row>
    <row r="16" spans="1:2" x14ac:dyDescent="0.25">
      <c r="A16" t="s">
        <v>40</v>
      </c>
    </row>
  </sheetData>
  <sheetProtection algorithmName="SHA-512" hashValue="1xXo8NlrEUHLgFwOvOy5WqvHISQreinC1giIbJY1GbvZ7jGyPPPSCmyuDMoZdVwgFShThHtJdJ+hs2WGftTDtA==" saltValue="NJ9kk0f1vgBYIETC9yrygg==" spinCount="100000" sheet="1" objects="1" scenarios="1"/>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0A33F2CE-7276-44DC-BC03-E4C3A0CC20F5}">
            <xm:f>OR(Inmatning!$E$21="Flexifuel etanol/bensin",Inmatning!$E$21="Bifuel gas/bensin",Inmatning!$E$21="Laddhybrid bensin",Inmatning!$E$21="Laddhybrid diesel")</xm:f>
            <x14:dxf/>
          </x14:cfRule>
          <xm:sqref>E20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52164-4EA5-43BA-892E-C6D7AC69D706}">
  <dimension ref="A1:V44"/>
  <sheetViews>
    <sheetView zoomScale="80" zoomScaleNormal="80" workbookViewId="0">
      <selection activeCell="D32" sqref="D32"/>
    </sheetView>
  </sheetViews>
  <sheetFormatPr defaultRowHeight="15" x14ac:dyDescent="0.25"/>
  <cols>
    <col min="1" max="1" width="13.140625" customWidth="1"/>
    <col min="2" max="2" width="8.7109375" customWidth="1"/>
    <col min="3" max="3" width="22.140625" bestFit="1" customWidth="1"/>
    <col min="4" max="4" width="22.140625" customWidth="1"/>
    <col min="5" max="5" width="14.140625" bestFit="1" customWidth="1"/>
    <col min="6" max="6" width="14.85546875" bestFit="1" customWidth="1"/>
    <col min="8" max="8" width="9.5703125" customWidth="1"/>
    <col min="9" max="9" width="9.85546875" bestFit="1" customWidth="1"/>
    <col min="10" max="13" width="10.140625" customWidth="1"/>
    <col min="14" max="14" width="10" customWidth="1"/>
    <col min="15" max="15" width="11.5703125" bestFit="1" customWidth="1"/>
    <col min="16" max="16" width="10.140625" bestFit="1" customWidth="1"/>
    <col min="17" max="17" width="31.5703125" bestFit="1" customWidth="1"/>
    <col min="18" max="18" width="10.28515625" bestFit="1" customWidth="1"/>
    <col min="19" max="19" width="18.28515625" bestFit="1" customWidth="1"/>
    <col min="20" max="20" width="20.140625" bestFit="1" customWidth="1"/>
    <col min="21" max="21" width="23.5703125" bestFit="1" customWidth="1"/>
    <col min="22" max="22" width="17.7109375" bestFit="1" customWidth="1"/>
    <col min="23" max="23" width="16.28515625" bestFit="1" customWidth="1"/>
  </cols>
  <sheetData>
    <row r="1" spans="1:22" x14ac:dyDescent="0.25">
      <c r="A1" s="98" t="s">
        <v>4</v>
      </c>
      <c r="B1" s="98" t="s">
        <v>62</v>
      </c>
      <c r="C1" s="98" t="s">
        <v>2</v>
      </c>
      <c r="D1" s="98" t="s">
        <v>135</v>
      </c>
      <c r="E1" s="99" t="s">
        <v>134</v>
      </c>
      <c r="F1" s="99" t="s">
        <v>104</v>
      </c>
      <c r="G1" s="99" t="s">
        <v>136</v>
      </c>
      <c r="H1" s="99" t="s">
        <v>5</v>
      </c>
      <c r="I1" s="99" t="s">
        <v>136</v>
      </c>
      <c r="J1" s="98" t="s">
        <v>6</v>
      </c>
      <c r="K1" s="98" t="s">
        <v>63</v>
      </c>
      <c r="L1" s="98" t="s">
        <v>7</v>
      </c>
      <c r="M1" s="98" t="s">
        <v>64</v>
      </c>
      <c r="N1" s="98" t="s">
        <v>8</v>
      </c>
      <c r="O1" s="98" t="s">
        <v>65</v>
      </c>
    </row>
    <row r="2" spans="1:22" x14ac:dyDescent="0.25">
      <c r="A2" s="172" t="str">
        <f>Inmatning!B21</f>
        <v>Endast bränsle</v>
      </c>
      <c r="B2" s="172">
        <f>IF(OR(C2="Flexifuel etanol/bensin",C2="Bifuel gas/bensin",C2="Laddhybrid bensin",C2="Laddhybrid diesel"),1,0)</f>
        <v>0</v>
      </c>
      <c r="C2" s="172" t="str">
        <f>Inmatning!E21</f>
        <v>Diesel</v>
      </c>
      <c r="D2" s="15" t="str">
        <f>IF(B2=1,IF(C2="Flexifuel etanol/bensin","Etanol (E85)",IF(C2="Bifuel gas/bensin","Fordonsgas (blandning)","El")),C2)</f>
        <v>Diesel</v>
      </c>
      <c r="E2" s="5">
        <f>Inmatning!F21</f>
        <v>20</v>
      </c>
      <c r="F2" s="69">
        <f>IF(OR((E2+E3)&gt;0,H2&gt;0,B2&gt;0),0,IFERROR(Inmatning!J21/VLOOKUP(D2,Inmatning!$L$12:$M$18,2,FALSE),0))</f>
        <v>0</v>
      </c>
      <c r="G2" s="5" t="str">
        <f>IF(OR(C2="Bensin",C2="Diesel",C2="Biodiesel (HVO 100%)",C2="Etanol (E85)",C2="Flexifuel etanol/bensin"),"liter",IF(OR(C2="Fordonsgas (blandning)",C2="Biogas",C2="Bifuel gas/bensin"),"kg",IF(OR(C2="El",C2="Laddhybrid bensin",C2="Laddhybrid diesel"),"kWh","-")))</f>
        <v>liter</v>
      </c>
      <c r="H2" s="172">
        <f>IF((E2+E3)&gt;0,0,Inmatning!H21)</f>
        <v>0</v>
      </c>
      <c r="I2" s="172" t="str">
        <f>IF(OR(A2="Långfärdsbuss",A2="Stadsbuss",A2="Tunnelbana",A2="Pendeltåg",A2="Regionaltåg",A2="Snabbtåg",A2="Intercitytåg"),"personkm","km")</f>
        <v>km</v>
      </c>
      <c r="J2" s="5">
        <f>IFERROR(E2*VLOOKUP(D2,$Q$3:$V$10,3,FALSE),0)+IFERROR(F2*VLOOKUP(D2,$Q$3:$V$10,3,FALSE),0)+
IFERROR(H2*VLOOKUP(_xlfn.CONCAT(A2," ",C2),$Q$11:$T$44,3,FALSE),IFERROR(H2*VLOOKUP(A2,$Q$11:$T$44,3,FALSE),0))</f>
        <v>42.721600000000002</v>
      </c>
      <c r="K2" s="171">
        <f>J2+J3</f>
        <v>42.721600000000002</v>
      </c>
      <c r="L2" s="5">
        <f>IFERROR(E2*VLOOKUP(D2,$Q$3:$V$10,4,FALSE),0)+IFERROR(F2*VLOOKUP(D2,$Q$3:$V$10,4,FALSE),0)+
IFERROR(H2*VLOOKUP(_xlfn.CONCAT(A2," ",C2),$Q$11:$T$44,4,FALSE),IFERROR(H2*VLOOKUP(A2,$Q$11:$T$44,4,FALSE),0))</f>
        <v>52.031602841746583</v>
      </c>
      <c r="M2" s="171">
        <f>L2+L3</f>
        <v>52.031602841746583</v>
      </c>
      <c r="N2" s="5">
        <f>IFERROR(E2*VLOOKUP(D2,$Q$3:$V$10,5,FALSE),0)+IFERROR(F2*VLOOKUP(D2,$Q$3:$V$10,5,FALSE),0)</f>
        <v>196</v>
      </c>
      <c r="O2" s="171">
        <f>IF(AND(N2+N3=0,OR(M2&lt;&gt;0,K2&lt;&gt;0)),"-",N2+N3)</f>
        <v>196</v>
      </c>
      <c r="R2" t="s">
        <v>33</v>
      </c>
      <c r="S2" t="s">
        <v>129</v>
      </c>
      <c r="T2" t="s">
        <v>130</v>
      </c>
      <c r="U2" t="s">
        <v>131</v>
      </c>
      <c r="V2" t="s">
        <v>132</v>
      </c>
    </row>
    <row r="3" spans="1:22" x14ac:dyDescent="0.25">
      <c r="A3" s="172"/>
      <c r="B3" s="172"/>
      <c r="C3" s="172"/>
      <c r="D3" s="15" t="str">
        <f>IF(B2=1,IF(C2="Laddhybrid diesel","Diesel","Bensin"),"--")</f>
        <v>--</v>
      </c>
      <c r="E3" s="5">
        <f>Inmatning!F22</f>
        <v>0</v>
      </c>
      <c r="F3" s="69">
        <f>IF(OR((E2+E3)&gt;0,H2&gt;0),0,IFERROR(Inmatning!J21/VLOOKUP(D3,Inmatning!$L$12:$M$18,2,FALSE),0))</f>
        <v>0</v>
      </c>
      <c r="G3" s="5" t="str">
        <f>IF(OR(C2="Flexifuel etanol/bensin",C2="Bifuel gas/bensin",C2="Laddhybrid bensin",C2="Laddhybrid diesel"),"liter","-")</f>
        <v>-</v>
      </c>
      <c r="H3" s="172"/>
      <c r="I3" s="172"/>
      <c r="J3" s="5">
        <f>IF(B2=1,IFERROR(E3*VLOOKUP(D3,$Q$3:$V$10,3,FALSE),0)+IFERROR(F3*VLOOKUP(D3,$Q$3:$V$10,3,FALSE),0),0)</f>
        <v>0</v>
      </c>
      <c r="K3" s="171"/>
      <c r="L3" s="5">
        <f>IF(B2=1,IFERROR(E3*VLOOKUP(D3,$Q$3:$V$10,4,FALSE),0)+IFERROR(F3*VLOOKUP(D3,$Q$3:$V$10,4,FALSE),0),0)</f>
        <v>0</v>
      </c>
      <c r="M3" s="171"/>
      <c r="N3" s="5">
        <f>IF(B2=1,IFERROR(E3*VLOOKUP(D3,$Q$3:$V$10,5,FALSE),0)+IFERROR(F3*VLOOKUP(D3,$Q$3:$V$10,5,FALSE),0),0)</f>
        <v>0</v>
      </c>
      <c r="O3" s="171"/>
      <c r="P3" s="20" t="s">
        <v>2</v>
      </c>
      <c r="Q3" s="6" t="s">
        <v>23</v>
      </c>
      <c r="R3" s="6" t="s">
        <v>34</v>
      </c>
      <c r="S3" s="92">
        <v>2.2400000000000002</v>
      </c>
      <c r="T3" s="92">
        <v>2.7003991302891079</v>
      </c>
      <c r="U3" s="92">
        <v>9.1</v>
      </c>
      <c r="V3" s="92">
        <f>Inmatning!M12</f>
        <v>16</v>
      </c>
    </row>
    <row r="4" spans="1:22" x14ac:dyDescent="0.25">
      <c r="A4" s="172" t="str">
        <f>Inmatning!B23</f>
        <v>Personbil</v>
      </c>
      <c r="B4" s="172">
        <f>IF(OR(C4="Flexifuel etanol/bensin",C4="Bifuel gas/bensin",C4="Laddhybrid bensin",C4="Laddhybrid diesel"),1,0)</f>
        <v>1</v>
      </c>
      <c r="C4" s="172" t="str">
        <f>Inmatning!E23</f>
        <v>Laddhybrid bensin</v>
      </c>
      <c r="D4" s="19" t="str">
        <f>IF(B4=1,IF(C4="Flexifuel etanol/bensin","Etanol (E85)",IF(C4="Bifuel gas/bensin","Fordonsgas (blandning)","El")),C4)</f>
        <v>El</v>
      </c>
      <c r="E4" s="5">
        <f>Inmatning!F23</f>
        <v>0</v>
      </c>
      <c r="F4" s="69">
        <f>IF(OR((E4+E5)&gt;0,H4&gt;0,B4&gt;0),0,IFERROR(Inmatning!J23/VLOOKUP(D4,Inmatning!$L$12:$M$18,2,FALSE),0))</f>
        <v>0</v>
      </c>
      <c r="G4" s="5" t="str">
        <f>IF(OR(C4="Bensin",C4="Diesel",C4="Biodiesel (HVO 100%)",C4="Etanol (E85)",C4="Flexifuel etanol/bensin"),"liter",IF(OR(C4="Fordonsgas (blandning)",C4="Biogas",C4="Bifuel gas/bensin"),"kg",IF(OR(C4="El",C4="Laddhybrid bensin",C4="Laddhybrid diesel"),"kWh","-")))</f>
        <v>kWh</v>
      </c>
      <c r="H4" s="172">
        <f>IF((E4+E5)&gt;0,0,Inmatning!H23)</f>
        <v>100</v>
      </c>
      <c r="I4" s="172" t="str">
        <f>IF(OR(A4="Långfärdsbuss",A4="Stadsbuss",A4="Tunnelbana",A4="Pendeltåg",A4="Regionaltåg",A4="Snabbtåg",A4="Intercitytåg"),"personkm","km")</f>
        <v>km</v>
      </c>
      <c r="J4" s="5">
        <f>IFERROR(E4*VLOOKUP(D4,$Q$3:$V$10,3,FALSE),0)+IFERROR(F4*VLOOKUP(D4,$Q$3:$V$10,3,FALSE),0)+
IFERROR(H4*VLOOKUP(_xlfn.CONCAT(A4," ",C4),$Q$11:$T$44,3,FALSE),IFERROR(H4*VLOOKUP(A4,$Q$11:$T$44,3,FALSE),0))</f>
        <v>5.1393400008960919</v>
      </c>
      <c r="K4" s="171">
        <f t="shared" ref="K4" si="0">J4+J5</f>
        <v>5.1393400008960919</v>
      </c>
      <c r="L4" s="5">
        <f>IFERROR(E4*VLOOKUP(D4,$Q$3:$V$10,4,FALSE),0)+IFERROR(F4*VLOOKUP(D4,$Q$3:$V$10,4,FALSE),0)+
IFERROR(H4*VLOOKUP(_xlfn.CONCAT(A4," ",C4),$Q$11:$T$44,4,FALSE),IFERROR(H4*VLOOKUP(A4,$Q$11:$T$44,4,FALSE),0))</f>
        <v>6.7011009739573186</v>
      </c>
      <c r="M4" s="171">
        <f t="shared" ref="M4" si="1">L4+L5</f>
        <v>6.7011009739573186</v>
      </c>
      <c r="N4" s="5">
        <f>IFERROR(E4*VLOOKUP(D4,$Q$3:$V$10,5,FALSE),0)+IFERROR(F4*VLOOKUP(D4,$Q$3:$V$10,5,FALSE),0)</f>
        <v>0</v>
      </c>
      <c r="O4" s="171" t="str">
        <f t="shared" ref="O4" si="2">IF(AND(N4+N5=0,OR(M4&lt;&gt;0,K4&lt;&gt;0)),"-",N4+N5)</f>
        <v>-</v>
      </c>
      <c r="Q4" s="6" t="s">
        <v>24</v>
      </c>
      <c r="R4" s="6" t="s">
        <v>34</v>
      </c>
      <c r="S4" s="92">
        <v>2.1360800000000002</v>
      </c>
      <c r="T4" s="92">
        <v>2.6015801420873292</v>
      </c>
      <c r="U4" s="92">
        <v>9.8000000000000007</v>
      </c>
      <c r="V4" s="92">
        <f>Inmatning!M13</f>
        <v>16.5</v>
      </c>
    </row>
    <row r="5" spans="1:22" x14ac:dyDescent="0.25">
      <c r="A5" s="172"/>
      <c r="B5" s="172"/>
      <c r="C5" s="172"/>
      <c r="D5" s="19" t="str">
        <f>IF(B4=1,IF(C4="Laddhybrid diesel","Diesel","Bensin"),"--")</f>
        <v>Bensin</v>
      </c>
      <c r="E5" s="5">
        <f>Inmatning!F24</f>
        <v>0</v>
      </c>
      <c r="F5" s="69">
        <f>IF(OR((E4+E5)&gt;0,H4&gt;0),0,IFERROR(Inmatning!J23/VLOOKUP(D5,Inmatning!$L$12:$M$18,2,FALSE),0))</f>
        <v>0</v>
      </c>
      <c r="G5" s="5" t="str">
        <f>IF(OR(C4="Flexifuel etanol/bensin",C4="Bifuel gas/bensin",C4="Laddhybrid bensin",C4="Laddhybrid diesel"),"liter","-")</f>
        <v>liter</v>
      </c>
      <c r="H5" s="172"/>
      <c r="I5" s="172"/>
      <c r="J5" s="5">
        <f>IF(B4=1,IFERROR(E5*VLOOKUP(D5,$Q$3:$V$10,3,FALSE),0)+IFERROR(F5*VLOOKUP(D5,$Q$3:$V$10,3,FALSE),0),0)</f>
        <v>0</v>
      </c>
      <c r="K5" s="171"/>
      <c r="L5" s="5">
        <f>IF(B4=1,IFERROR(E5*VLOOKUP(D5,$Q$3:$V$10,4,FALSE),0)+IFERROR(F5*VLOOKUP(D5,$Q$3:$V$10,4,FALSE),0),0)</f>
        <v>0</v>
      </c>
      <c r="M5" s="171"/>
      <c r="N5" s="5">
        <f>IF(B4=1,IFERROR(E5*VLOOKUP(D5,$Q$3:$V$10,5,FALSE),0)+IFERROR(F5*VLOOKUP(D5,$Q$3:$V$10,5,FALSE),0),0)</f>
        <v>0</v>
      </c>
      <c r="O5" s="171"/>
      <c r="Q5" s="6" t="s">
        <v>25</v>
      </c>
      <c r="R5" s="6" t="s">
        <v>34</v>
      </c>
      <c r="S5" s="92">
        <v>0</v>
      </c>
      <c r="T5" s="92">
        <v>0.45225372455374163</v>
      </c>
      <c r="U5" s="92">
        <v>9.44</v>
      </c>
      <c r="V5" s="92">
        <f>Inmatning!M14</f>
        <v>17.5</v>
      </c>
    </row>
    <row r="6" spans="1:22" x14ac:dyDescent="0.25">
      <c r="A6" s="172" t="str">
        <f>Inmatning!B25</f>
        <v>Lätt lastbil</v>
      </c>
      <c r="B6" s="172">
        <f>IF(OR(C6="Flexifuel etanol/bensin",C6="Bifuel gas/bensin",C6="Laddhybrid bensin",C6="Laddhybrid diesel"),1,0)</f>
        <v>0</v>
      </c>
      <c r="C6" s="172" t="str">
        <f>Inmatning!E25</f>
        <v>Bensin</v>
      </c>
      <c r="D6" s="19" t="str">
        <f>IF(B6=1,IF(C6="Flexifuel etanol/bensin","Etanol (E85)",IF(C6="Bifuel gas/bensin","Fordonsgas (blandning)","El")),C6)</f>
        <v>Bensin</v>
      </c>
      <c r="E6" s="5">
        <f>Inmatning!F25</f>
        <v>10</v>
      </c>
      <c r="F6" s="69">
        <f>IF(OR((E6+E7)&gt;0,H6&gt;0,B6&gt;0),0,IFERROR(Inmatning!J25/VLOOKUP(D6,Inmatning!$L$12:$M$18,2,FALSE),0))</f>
        <v>0</v>
      </c>
      <c r="G6" s="5" t="str">
        <f>IF(OR(C6="Bensin",C6="Diesel",C6="Biodiesel (HVO 100%)",C6="Etanol (E85)",C6="Flexifuel etanol/bensin"),"liter",IF(OR(C6="Fordonsgas (blandning)",C6="Biogas",C6="Bifuel gas/bensin"),"kg",IF(OR(C6="El",C6="Laddhybrid bensin",C6="Laddhybrid diesel"),"kWh","-")))</f>
        <v>liter</v>
      </c>
      <c r="H6" s="172">
        <f>IF((E6+E7)&gt;0,0,Inmatning!H25)</f>
        <v>0</v>
      </c>
      <c r="I6" s="172" t="str">
        <f>IF(OR(A6="Långfärdsbuss",A6="Stadsbuss",A6="Tunnelbana",A6="Pendeltåg",A6="Regionaltåg",A6="Snabbtåg",A6="Intercitytåg"),"personkm","km")</f>
        <v>km</v>
      </c>
      <c r="J6" s="5">
        <f>IFERROR(E6*VLOOKUP(D6,$Q$3:$V$10,3,FALSE),0)+IFERROR(F6*VLOOKUP(D6,$Q$3:$V$10,3,FALSE),0)+
IFERROR(H6*VLOOKUP(_xlfn.CONCAT(A6," ",C6),$Q$11:$T$44,3,FALSE),IFERROR(H6*VLOOKUP(A6,$Q$11:$T$44,3,FALSE),0))</f>
        <v>22.400000000000002</v>
      </c>
      <c r="K6" s="171">
        <f>J6+J7</f>
        <v>22.400000000000002</v>
      </c>
      <c r="L6" s="5">
        <f>IFERROR(E6*VLOOKUP(D6,$Q$3:$V$10,4,FALSE),0)+IFERROR(F6*VLOOKUP(D6,$Q$3:$V$10,4,FALSE),0)+
IFERROR(H6*VLOOKUP(_xlfn.CONCAT(A6," ",C6),$Q$11:$T$44,4,FALSE),IFERROR(H6*VLOOKUP(A6,$Q$11:$T$44,4,FALSE),0))</f>
        <v>27.00399130289108</v>
      </c>
      <c r="M6" s="171">
        <f t="shared" ref="M6" si="3">L6+L7</f>
        <v>27.00399130289108</v>
      </c>
      <c r="N6" s="5">
        <f>IFERROR(E6*VLOOKUP(D6,$Q$3:$V$10,5,FALSE),0)+IFERROR(F6*VLOOKUP(D6,$Q$3:$V$10,5,FALSE),0)</f>
        <v>91</v>
      </c>
      <c r="O6" s="171">
        <f t="shared" ref="O6" si="4">IF(AND(N6+N7=0,OR(M6&lt;&gt;0,K6&lt;&gt;0)),"-",N6+N7)</f>
        <v>91</v>
      </c>
      <c r="Q6" s="6" t="s">
        <v>26</v>
      </c>
      <c r="R6" s="6" t="s">
        <v>34</v>
      </c>
      <c r="S6" s="92">
        <v>0.44599999999999995</v>
      </c>
      <c r="T6" s="92">
        <v>1.0079073624004402</v>
      </c>
      <c r="U6" s="92">
        <v>6.59</v>
      </c>
      <c r="V6" s="92">
        <f>Inmatning!M15</f>
        <v>13.3</v>
      </c>
    </row>
    <row r="7" spans="1:22" x14ac:dyDescent="0.25">
      <c r="A7" s="172"/>
      <c r="B7" s="172"/>
      <c r="C7" s="172"/>
      <c r="D7" s="19" t="str">
        <f>IF(B6=1,IF(C6="Laddhybrid diesel","Diesel","Bensin"),"--")</f>
        <v>--</v>
      </c>
      <c r="E7" s="5">
        <f>Inmatning!F26</f>
        <v>0</v>
      </c>
      <c r="F7" s="69">
        <f>IF(OR((E6+E7)&gt;0,H6&gt;0),0,IFERROR(Inmatning!J25/VLOOKUP(D7,Inmatning!$L$12:$M$18,2,FALSE),0))</f>
        <v>0</v>
      </c>
      <c r="G7" s="5" t="str">
        <f>IF(OR(C6="Flexifuel etanol/bensin",C6="Bifuel gas/bensin",C6="Laddhybrid bensin",C6="Laddhybrid diesel"),"liter","-")</f>
        <v>-</v>
      </c>
      <c r="H7" s="172"/>
      <c r="I7" s="172"/>
      <c r="J7" s="5">
        <f>IF(B6=1,IFERROR(E7*VLOOKUP(D7,$Q$3:$V$10,3,FALSE),0)+IFERROR(F7*VLOOKUP(D7,$Q$3:$V$10,3,FALSE),0),0)</f>
        <v>0</v>
      </c>
      <c r="K7" s="171"/>
      <c r="L7" s="5">
        <f>IF(B6=1,IFERROR(E7*VLOOKUP(D7,$Q$3:$V$10,4,FALSE),0)+IFERROR(F7*VLOOKUP(D7,$Q$3:$V$10,4,FALSE),0),0)</f>
        <v>0</v>
      </c>
      <c r="M7" s="171"/>
      <c r="N7" s="5">
        <f>IF(B6=1,IFERROR(E7*VLOOKUP(D7,$Q$3:$V$10,5,FALSE),0)+IFERROR(F7*VLOOKUP(D7,$Q$3:$V$10,5,FALSE),0),0)</f>
        <v>0</v>
      </c>
      <c r="O7" s="171"/>
      <c r="Q7" s="6" t="s">
        <v>27</v>
      </c>
      <c r="R7" s="6" t="s">
        <v>35</v>
      </c>
      <c r="S7" s="92">
        <v>0.53861941448382122</v>
      </c>
      <c r="T7" s="92">
        <v>1.3077820209374922</v>
      </c>
      <c r="U7" s="92">
        <v>12.92</v>
      </c>
      <c r="V7" s="92">
        <f>Inmatning!M16</f>
        <v>18.5</v>
      </c>
    </row>
    <row r="8" spans="1:22" x14ac:dyDescent="0.25">
      <c r="A8" s="172" t="str">
        <f>Inmatning!B27</f>
        <v>Personbil</v>
      </c>
      <c r="B8" s="172">
        <f>IF(OR(C8="Flexifuel etanol/bensin",C8="Bifuel gas/bensin",C8="Laddhybrid bensin",C8="Laddhybrid diesel"),1,0)</f>
        <v>0</v>
      </c>
      <c r="C8" s="172" t="str">
        <f>Inmatning!E27</f>
        <v>Biogas</v>
      </c>
      <c r="D8" s="19" t="str">
        <f>IF(B8=1,IF(C8="Flexifuel etanol/bensin","Etanol (E85)",IF(C8="Bifuel gas/bensin","Fordonsgas (blandning)","El")),C8)</f>
        <v>Biogas</v>
      </c>
      <c r="E8" s="5">
        <f>Inmatning!F27</f>
        <v>0</v>
      </c>
      <c r="F8" s="69">
        <f>IF(OR((E8+E9)&gt;0,H8&gt;0,B8&gt;0),0,IFERROR(Inmatning!J27/VLOOKUP(D8,Inmatning!$L$12:$M$18,2,FALSE),0))</f>
        <v>15.384615384615385</v>
      </c>
      <c r="G8" s="5" t="str">
        <f>IF(OR(C8="Bensin",C8="Diesel",C8="Biodiesel (HVO 100%)",C8="Etanol (E85)",C8="Flexifuel etanol/bensin"),"liter",IF(OR(C8="Fordonsgas (blandning)",C8="Biogas",C8="Bifuel gas/bensin"),"kg",IF(OR(C8="El",C8="Laddhybrid bensin",C8="Laddhybrid diesel"),"kWh","-")))</f>
        <v>kg</v>
      </c>
      <c r="H8" s="172">
        <f>IF((E8+E9)&gt;0,0,Inmatning!H27)</f>
        <v>0</v>
      </c>
      <c r="I8" s="172" t="str">
        <f>IF(OR(A8="Långfärdsbuss",A8="Stadsbuss",A8="Tunnelbana",A8="Pendeltåg",A8="Regionaltåg",A8="Snabbtåg",A8="Intercitytåg"),"personkm","km")</f>
        <v>km</v>
      </c>
      <c r="J8" s="5">
        <f>IFERROR(E8*VLOOKUP(D8,$Q$3:$V$10,3,FALSE),0)+IFERROR(F8*VLOOKUP(D8,$Q$3:$V$10,3,FALSE),0)+
IFERROR(H8*VLOOKUP(_xlfn.CONCAT(A8," ",C8),$Q$11:$T$44,3,FALSE),IFERROR(H8*VLOOKUP(A8,$Q$11:$T$44,3,FALSE),0))</f>
        <v>0</v>
      </c>
      <c r="K8" s="171">
        <f t="shared" ref="K8" si="5">J8+J9</f>
        <v>0</v>
      </c>
      <c r="L8" s="5">
        <f>IFERROR(E8*VLOOKUP(D8,$Q$3:$V$10,4,FALSE),0)+IFERROR(F8*VLOOKUP(D8,$Q$3:$V$10,4,FALSE),0)+
IFERROR(H8*VLOOKUP(_xlfn.CONCAT(A8," ",C8),$Q$11:$T$44,4,FALSE),IFERROR(H8*VLOOKUP(A8,$Q$11:$T$44,4,FALSE),0))</f>
        <v>12.449233991654193</v>
      </c>
      <c r="M8" s="171">
        <f t="shared" ref="M8" si="6">L8+L9</f>
        <v>12.449233991654193</v>
      </c>
      <c r="N8" s="5">
        <f>IFERROR(E8*VLOOKUP(D8,$Q$3:$V$10,5,FALSE),0)+IFERROR(F8*VLOOKUP(D8,$Q$3:$V$10,5,FALSE),0)</f>
        <v>198.76923076923077</v>
      </c>
      <c r="O8" s="171">
        <f t="shared" ref="O8" si="7">IF(AND(N8+N9=0,OR(M8&lt;&gt;0,K8&lt;&gt;0)),"-",N8+N9)</f>
        <v>198.76923076923077</v>
      </c>
      <c r="Q8" s="6" t="s">
        <v>28</v>
      </c>
      <c r="R8" s="6" t="s">
        <v>35</v>
      </c>
      <c r="S8" s="92">
        <v>0</v>
      </c>
      <c r="T8" s="92">
        <v>0.80920020945752258</v>
      </c>
      <c r="U8" s="92">
        <v>12.92</v>
      </c>
      <c r="V8" s="92">
        <f>Inmatning!M17</f>
        <v>19.5</v>
      </c>
    </row>
    <row r="9" spans="1:22" x14ac:dyDescent="0.25">
      <c r="A9" s="172"/>
      <c r="B9" s="172"/>
      <c r="C9" s="172"/>
      <c r="D9" s="19" t="str">
        <f>IF(B8=1,IF(C8="Laddhybrid diesel","Diesel","Bensin"),"--")</f>
        <v>--</v>
      </c>
      <c r="E9" s="5">
        <f>Inmatning!F28</f>
        <v>0</v>
      </c>
      <c r="F9" s="69">
        <f>IF(OR((E8+E9)&gt;0,H8&gt;0),0,IFERROR(Inmatning!J27/VLOOKUP(D9,Inmatning!$L$12:$M$18,2,FALSE),0))</f>
        <v>0</v>
      </c>
      <c r="G9" s="5" t="str">
        <f>IF(OR(C8="Flexifuel etanol/bensin",C8="Bifuel gas/bensin",C8="Laddhybrid bensin",C8="Laddhybrid diesel"),"liter","-")</f>
        <v>-</v>
      </c>
      <c r="H9" s="172"/>
      <c r="I9" s="172"/>
      <c r="J9" s="5">
        <f>IF(B8=1,IFERROR(E9*VLOOKUP(D9,$Q$3:$V$10,3,FALSE),0)+IFERROR(F9*VLOOKUP(D9,$Q$3:$V$10,3,FALSE),0),0)</f>
        <v>0</v>
      </c>
      <c r="K9" s="171"/>
      <c r="L9" s="5">
        <f>IF(B8=1,IFERROR(E9*VLOOKUP(D9,$Q$3:$V$10,4,FALSE),0)+IFERROR(F9*VLOOKUP(D9,$Q$3:$V$10,4,FALSE),0),0)</f>
        <v>0</v>
      </c>
      <c r="M9" s="171"/>
      <c r="N9" s="5">
        <f>IF(B8=1,IFERROR(E9*VLOOKUP(D9,$Q$3:$V$10,5,FALSE),0)+IFERROR(F9*VLOOKUP(D9,$Q$3:$V$10,5,FALSE),0),0)</f>
        <v>0</v>
      </c>
      <c r="O9" s="171"/>
      <c r="Q9" s="8" t="s">
        <v>29</v>
      </c>
      <c r="R9" s="8" t="s">
        <v>8</v>
      </c>
      <c r="S9" s="93">
        <v>0</v>
      </c>
      <c r="T9" s="93">
        <v>1.2999999999999999E-2</v>
      </c>
      <c r="U9" s="93">
        <v>1</v>
      </c>
      <c r="V9" s="92">
        <f>Inmatning!M18</f>
        <v>1.5</v>
      </c>
    </row>
    <row r="10" spans="1:22" x14ac:dyDescent="0.25">
      <c r="A10" s="172" t="str">
        <f>Inmatning!B29</f>
        <v>-</v>
      </c>
      <c r="B10" s="172">
        <f>IF(OR(C10="Flexifuel etanol/bensin",C10="Bifuel gas/bensin",C10="Laddhybrid bensin",C10="Laddhybrid diesel"),1,0)</f>
        <v>0</v>
      </c>
      <c r="C10" s="172" t="str">
        <f>Inmatning!E29</f>
        <v>-</v>
      </c>
      <c r="D10" s="19" t="str">
        <f>IF(B10=1,IF(C10="Flexifuel etanol/bensin","Etanol (E85)",IF(C10="Bifuel gas/bensin","Fordonsgas (blandning)","El")),C10)</f>
        <v>-</v>
      </c>
      <c r="E10" s="5">
        <f>Inmatning!F29</f>
        <v>0</v>
      </c>
      <c r="F10" s="69">
        <f>IF(OR((E10+E11)&gt;0,H10&gt;0,B10&gt;0),0,IFERROR(Inmatning!J29/VLOOKUP(D10,Inmatning!$L$12:$M$18,2,FALSE),0))</f>
        <v>0</v>
      </c>
      <c r="G10" s="5" t="str">
        <f>IF(OR(C10="Bensin",C10="Diesel",C10="Biodiesel (HVO 100%)",C10="Etanol (E85)",C10="Flexifuel etanol/bensin"),"liter",IF(OR(C10="Fordonsgas (blandning)",C10="Biogas",C10="Bifuel gas/bensin"),"kg",IF(OR(C10="El",C10="Laddhybrid bensin",C10="Laddhybrid diesel"),"kWh","-")))</f>
        <v>-</v>
      </c>
      <c r="H10" s="172">
        <f>IF((E10+E11)&gt;0,0,Inmatning!H29)</f>
        <v>0</v>
      </c>
      <c r="I10" s="172" t="str">
        <f>IF(OR(A10="Långfärdsbuss",A10="Stadsbuss",A10="Tunnelbana",A10="Pendeltåg",A10="Regionaltåg",A10="Snabbtåg",A10="Intercitytåg"),"personkm","km")</f>
        <v>km</v>
      </c>
      <c r="J10" s="5">
        <f>IFERROR(E10*VLOOKUP(D10,$Q$3:$V$10,3,FALSE),0)+IFERROR(F10*VLOOKUP(D10,$Q$3:$V$10,3,FALSE),0)+
IFERROR(H10*VLOOKUP(_xlfn.CONCAT(A10," ",C10),$Q$11:$T$44,3,FALSE),IFERROR(H10*VLOOKUP(A10,$Q$11:$T$44,3,FALSE),0))</f>
        <v>0</v>
      </c>
      <c r="K10" s="171">
        <f t="shared" ref="K10" si="8">J10+J11</f>
        <v>0</v>
      </c>
      <c r="L10" s="5">
        <f>IFERROR(E10*VLOOKUP(D10,$Q$3:$V$10,4,FALSE),0)+IFERROR(F10*VLOOKUP(D10,$Q$3:$V$10,4,FALSE),0)+
IFERROR(H10*VLOOKUP(_xlfn.CONCAT(A10," ",C10),$Q$11:$T$44,4,FALSE),IFERROR(H10*VLOOKUP(A10,$Q$11:$T$44,4,FALSE),0))</f>
        <v>0</v>
      </c>
      <c r="M10" s="171">
        <f t="shared" ref="M10" si="9">L10+L11</f>
        <v>0</v>
      </c>
      <c r="N10" s="5">
        <f>IFERROR(E10*VLOOKUP(D10,$Q$3:$V$10,5,FALSE),0)+IFERROR(F10*VLOOKUP(D10,$Q$3:$V$10,5,FALSE),0)</f>
        <v>0</v>
      </c>
      <c r="O10" s="171">
        <f t="shared" ref="O10" si="10">IF(AND(N10+N11=0,OR(M10&lt;&gt;0,K10&lt;&gt;0)),"-",N10+N11)</f>
        <v>0</v>
      </c>
      <c r="Q10" s="7" t="s">
        <v>9</v>
      </c>
      <c r="R10" s="7" t="s">
        <v>9</v>
      </c>
      <c r="S10" s="94">
        <v>0</v>
      </c>
      <c r="T10" s="94">
        <v>0</v>
      </c>
      <c r="U10" s="94">
        <v>0</v>
      </c>
      <c r="V10" s="94">
        <v>0</v>
      </c>
    </row>
    <row r="11" spans="1:22" x14ac:dyDescent="0.25">
      <c r="A11" s="172"/>
      <c r="B11" s="172"/>
      <c r="C11" s="172"/>
      <c r="D11" s="19" t="str">
        <f>IF(B10=1,IF(C10="Laddhybrid diesel","Diesel","Bensin"),"--")</f>
        <v>--</v>
      </c>
      <c r="E11" s="5">
        <f>Inmatning!F30</f>
        <v>0</v>
      </c>
      <c r="F11" s="69">
        <f>IF(OR((E10+E11)&gt;0,H10&gt;0),0,IFERROR(Inmatning!J29/VLOOKUP(D11,Inmatning!$L$12:$M$18,2,FALSE),0))</f>
        <v>0</v>
      </c>
      <c r="G11" s="5" t="str">
        <f>IF(OR(C10="Flexifuel etanol/bensin",C10="Bifuel gas/bensin",C10="Laddhybrid bensin",C10="Laddhybrid diesel"),"liter","-")</f>
        <v>-</v>
      </c>
      <c r="H11" s="172"/>
      <c r="I11" s="172"/>
      <c r="J11" s="5">
        <f>IF(B10=1,IFERROR(E11*VLOOKUP(D11,$Q$3:$V$10,3,FALSE),0)+IFERROR(F11*VLOOKUP(D11,$Q$3:$V$10,3,FALSE),0),0)</f>
        <v>0</v>
      </c>
      <c r="K11" s="171"/>
      <c r="L11" s="5">
        <f>IF(B10=1,IFERROR(E11*VLOOKUP(D11,$Q$3:$V$10,4,FALSE),0)+IFERROR(F11*VLOOKUP(D11,$Q$3:$V$10,4,FALSE),0),0)</f>
        <v>0</v>
      </c>
      <c r="M11" s="171"/>
      <c r="N11" s="5">
        <f>IF(B10=1,IFERROR(E11*VLOOKUP(D11,$Q$3:$V$10,5,FALSE),0)+IFERROR(F11*VLOOKUP(D11,$Q$3:$V$10,5,FALSE),0),0)</f>
        <v>0</v>
      </c>
      <c r="O11" s="171"/>
      <c r="P11" s="20" t="s">
        <v>5</v>
      </c>
      <c r="Q11" s="12" t="s">
        <v>43</v>
      </c>
      <c r="R11" s="12" t="s">
        <v>36</v>
      </c>
      <c r="S11" s="95">
        <v>0.17131133336320306</v>
      </c>
      <c r="T11" s="95">
        <v>0.2074587914919698</v>
      </c>
    </row>
    <row r="12" spans="1:22" x14ac:dyDescent="0.25">
      <c r="A12" s="172" t="str">
        <f>Inmatning!B31</f>
        <v>-</v>
      </c>
      <c r="B12" s="172">
        <f>IF(OR(C12="Flexifuel etanol/bensin",C12="Bifuel gas/bensin",C12="Laddhybrid bensin",C12="Laddhybrid diesel"),1,0)</f>
        <v>0</v>
      </c>
      <c r="C12" s="172" t="str">
        <f>Inmatning!E31</f>
        <v>-</v>
      </c>
      <c r="D12" s="19" t="str">
        <f>IF(B12=1,IF(C12="Flexifuel etanol/bensin","Etanol (E85)",IF(C12="Bifuel gas/bensin","Fordonsgas (blandning)","El")),C12)</f>
        <v>-</v>
      </c>
      <c r="E12" s="5">
        <f>Inmatning!F31</f>
        <v>0</v>
      </c>
      <c r="F12" s="69">
        <f>IF(OR((E12+E13)&gt;0,H12&gt;0,B12&gt;0),0,IFERROR(Inmatning!J31/VLOOKUP(D12,Inmatning!$L$12:$M$18,2,FALSE),0))</f>
        <v>0</v>
      </c>
      <c r="G12" s="5" t="str">
        <f>IF(OR(C12="Bensin",C12="Diesel",C12="Biodiesel (HVO 100%)",C12="Etanol (E85)",C12="Flexifuel etanol/bensin"),"liter",IF(OR(C12="Fordonsgas (blandning)",C12="Biogas",C12="Bifuel gas/bensin"),"kg",IF(OR(C12="El",C12="Laddhybrid bensin",C12="Laddhybrid diesel"),"kWh","-")))</f>
        <v>-</v>
      </c>
      <c r="H12" s="172">
        <f>IF((E12+E13)&gt;0,0,Inmatning!H31)</f>
        <v>0</v>
      </c>
      <c r="I12" s="172" t="str">
        <f>IF(OR(A12="Långfärdsbuss",A12="Stadsbuss",A12="Tunnelbana",A12="Pendeltåg",A12="Regionaltåg",A12="Snabbtåg",A12="Intercitytåg"),"personkm","km")</f>
        <v>km</v>
      </c>
      <c r="J12" s="5">
        <f>IFERROR(E12*VLOOKUP(D12,$Q$3:$V$10,3,FALSE),0)+IFERROR(F12*VLOOKUP(D12,$Q$3:$V$10,3,FALSE),0)+
IFERROR(H12*VLOOKUP(_xlfn.CONCAT(A12," ",C12),$Q$11:$T$44,3,FALSE),IFERROR(H12*VLOOKUP(A12,$Q$11:$T$44,3,FALSE),0))</f>
        <v>0</v>
      </c>
      <c r="K12" s="171">
        <f t="shared" ref="K12" si="11">J12+J13</f>
        <v>0</v>
      </c>
      <c r="L12" s="5">
        <f>IFERROR(E12*VLOOKUP(D12,$Q$3:$V$10,4,FALSE),0)+IFERROR(F12*VLOOKUP(D12,$Q$3:$V$10,4,FALSE),0)+
IFERROR(H12*VLOOKUP(_xlfn.CONCAT(A12," ",C12),$Q$11:$T$44,4,FALSE),IFERROR(H12*VLOOKUP(A12,$Q$11:$T$44,4,FALSE),0))</f>
        <v>0</v>
      </c>
      <c r="M12" s="171">
        <f t="shared" ref="M12" si="12">L12+L13</f>
        <v>0</v>
      </c>
      <c r="N12" s="5">
        <f>IFERROR(E12*VLOOKUP(D12,$Q$3:$V$10,5,FALSE),0)+IFERROR(F12*VLOOKUP(D12,$Q$3:$V$10,5,FALSE),0)</f>
        <v>0</v>
      </c>
      <c r="O12" s="171">
        <f t="shared" ref="O12" si="13">IF(AND(N12+N13=0,OR(M12&lt;&gt;0,K12&lt;&gt;0)),"-",N12+N13)</f>
        <v>0</v>
      </c>
      <c r="Q12" s="12" t="s">
        <v>44</v>
      </c>
      <c r="R12" s="12" t="s">
        <v>36</v>
      </c>
      <c r="S12" s="95">
        <v>0.11870272857605234</v>
      </c>
      <c r="T12" s="95">
        <v>0.14469118435758335</v>
      </c>
    </row>
    <row r="13" spans="1:22" x14ac:dyDescent="0.25">
      <c r="A13" s="172"/>
      <c r="B13" s="172"/>
      <c r="C13" s="172"/>
      <c r="D13" s="19" t="str">
        <f>IF(B12=1,IF(C12="Laddhybrid diesel","Diesel","Bensin"),"--")</f>
        <v>--</v>
      </c>
      <c r="E13" s="5">
        <f>Inmatning!F32</f>
        <v>0</v>
      </c>
      <c r="F13" s="69">
        <f>IF(OR((E12+E13)&gt;0,H12&gt;0),0,IFERROR(Inmatning!J31/VLOOKUP(D13,Inmatning!$L$12:$M$18,2,FALSE),0))</f>
        <v>0</v>
      </c>
      <c r="G13" s="5" t="str">
        <f>IF(OR(C12="Flexifuel etanol/bensin",C12="Bifuel gas/bensin",C12="Laddhybrid bensin",C12="Laddhybrid diesel"),"liter","-")</f>
        <v>-</v>
      </c>
      <c r="H13" s="172"/>
      <c r="I13" s="172"/>
      <c r="J13" s="5">
        <f>IF(B12=1,IFERROR(E13*VLOOKUP(D13,$Q$3:$V$10,3,FALSE),0)+IFERROR(F13*VLOOKUP(D13,$Q$3:$V$10,3,FALSE),0),0)</f>
        <v>0</v>
      </c>
      <c r="K13" s="171"/>
      <c r="L13" s="5">
        <f>IF(B12=1,IFERROR(E13*VLOOKUP(D13,$Q$3:$V$10,4,FALSE),0)+IFERROR(F13*VLOOKUP(D13,$Q$3:$V$10,4,FALSE),0),0)</f>
        <v>0</v>
      </c>
      <c r="M13" s="171"/>
      <c r="N13" s="5">
        <f>IF(B12=1,IFERROR(E13*VLOOKUP(D13,$Q$3:$V$10,5,FALSE),0)+IFERROR(F13*VLOOKUP(D13,$Q$3:$V$10,5,FALSE),0),0)</f>
        <v>0</v>
      </c>
      <c r="O13" s="171"/>
      <c r="Q13" s="12" t="s">
        <v>45</v>
      </c>
      <c r="R13" s="12" t="s">
        <v>36</v>
      </c>
      <c r="S13" s="95">
        <v>0</v>
      </c>
      <c r="T13" s="95">
        <v>2.9977907141899872E-2</v>
      </c>
    </row>
    <row r="14" spans="1:22" x14ac:dyDescent="0.25">
      <c r="A14" s="172" t="str">
        <f>Inmatning!B33</f>
        <v>-</v>
      </c>
      <c r="B14" s="172">
        <f>IF(OR(C14="Flexifuel etanol/bensin",C14="Bifuel gas/bensin",C14="Laddhybrid bensin",C14="Laddhybrid diesel"),1,0)</f>
        <v>0</v>
      </c>
      <c r="C14" s="172" t="str">
        <f>Inmatning!E33</f>
        <v>-</v>
      </c>
      <c r="D14" s="19" t="str">
        <f>IF(B14=1,IF(C14="Flexifuel etanol/bensin","Etanol (E85)",IF(C14="Bifuel gas/bensin","Fordonsgas (blandning)","El")),C14)</f>
        <v>-</v>
      </c>
      <c r="E14" s="5">
        <f>Inmatning!F33</f>
        <v>0</v>
      </c>
      <c r="F14" s="69">
        <f>IF(OR((E14+E15)&gt;0,H14&gt;0,B14&gt;0),0,IFERROR(Inmatning!J33/VLOOKUP(D14,Inmatning!$L$12:$M$18,2,FALSE),0))</f>
        <v>0</v>
      </c>
      <c r="G14" s="5" t="str">
        <f>IF(OR(C14="Bensin",C14="Diesel",C14="Biodiesel (HVO 100%)",C14="Etanol (E85)",C14="Flexifuel etanol/bensin"),"liter",IF(OR(C14="Fordonsgas (blandning)",C14="Biogas",C14="Bifuel gas/bensin"),"kg",IF(OR(C14="El",C14="Laddhybrid bensin",C14="Laddhybrid diesel"),"kWh","-")))</f>
        <v>-</v>
      </c>
      <c r="H14" s="172">
        <f>IF((E14+E15)&gt;0,0,Inmatning!H33)</f>
        <v>0</v>
      </c>
      <c r="I14" s="172" t="str">
        <f>IF(OR(A14="Långfärdsbuss",A14="Stadsbuss",A14="Tunnelbana",A14="Pendeltåg",A14="Regionaltåg",A14="Snabbtåg",A14="Intercitytåg"),"personkm","km")</f>
        <v>km</v>
      </c>
      <c r="J14" s="5">
        <f>IFERROR(E14*VLOOKUP(D14,$Q$3:$V$10,3,FALSE),0)+IFERROR(F14*VLOOKUP(D14,$Q$3:$V$10,3,FALSE),0)+
IFERROR(H14*VLOOKUP(_xlfn.CONCAT(A14," ",C14),$Q$11:$T$44,3,FALSE),IFERROR(H14*VLOOKUP(A14,$Q$11:$T$44,3,FALSE),0))</f>
        <v>0</v>
      </c>
      <c r="K14" s="171">
        <f t="shared" ref="K14" si="14">J14+J15</f>
        <v>0</v>
      </c>
      <c r="L14" s="5">
        <f>IFERROR(E14*VLOOKUP(D14,$Q$3:$V$10,4,FALSE),0)+IFERROR(F14*VLOOKUP(D14,$Q$3:$V$10,4,FALSE),0)+
IFERROR(H14*VLOOKUP(_xlfn.CONCAT(A14," ",C14),$Q$11:$T$44,4,FALSE),IFERROR(H14*VLOOKUP(A14,$Q$11:$T$44,4,FALSE),0))</f>
        <v>0</v>
      </c>
      <c r="M14" s="171">
        <f t="shared" ref="M14" si="15">L14+L15</f>
        <v>0</v>
      </c>
      <c r="N14" s="5">
        <f>IFERROR(E14*VLOOKUP(D14,$Q$3:$V$10,5,FALSE),0)+IFERROR(F14*VLOOKUP(D14,$Q$3:$V$10,5,FALSE),0)</f>
        <v>0</v>
      </c>
      <c r="O14" s="171">
        <f t="shared" ref="O14" si="16">IF(AND(N14+N15=0,OR(M14&lt;&gt;0,K14&lt;&gt;0)),"-",N14+N15)</f>
        <v>0</v>
      </c>
      <c r="Q14" s="12" t="s">
        <v>46</v>
      </c>
      <c r="R14" s="12" t="s">
        <v>36</v>
      </c>
      <c r="S14" s="95">
        <v>9.2849572962109078E-2</v>
      </c>
      <c r="T14" s="95">
        <v>0.1447837786748995</v>
      </c>
    </row>
    <row r="15" spans="1:22" x14ac:dyDescent="0.25">
      <c r="A15" s="172"/>
      <c r="B15" s="172"/>
      <c r="C15" s="172"/>
      <c r="D15" s="19" t="str">
        <f>IF(B14=1,IF(C14="Laddhybrid diesel","Diesel","Bensin"),"--")</f>
        <v>--</v>
      </c>
      <c r="E15" s="5">
        <f>Inmatning!F34</f>
        <v>0</v>
      </c>
      <c r="F15" s="69">
        <f>IF(OR((E14+E15)&gt;0,H14&gt;0),0,IFERROR(Inmatning!J33/VLOOKUP(D15,Inmatning!$L$12:$M$18,2,FALSE),0))</f>
        <v>0</v>
      </c>
      <c r="G15" s="5" t="str">
        <f>IF(OR(C14="Flexifuel etanol/bensin",C14="Bifuel gas/bensin",C14="Laddhybrid bensin",C14="Laddhybrid diesel"),"liter","-")</f>
        <v>-</v>
      </c>
      <c r="H15" s="172"/>
      <c r="I15" s="172"/>
      <c r="J15" s="5">
        <f>IF(B14=1,IFERROR(E15*VLOOKUP(D15,$Q$3:$V$10,3,FALSE),0)+IFERROR(F15*VLOOKUP(D15,$Q$3:$V$10,3,FALSE),0),0)</f>
        <v>0</v>
      </c>
      <c r="K15" s="171"/>
      <c r="L15" s="5">
        <f>IF(B14=1,IFERROR(E15*VLOOKUP(D15,$Q$3:$V$10,4,FALSE),0)+IFERROR(F15*VLOOKUP(D15,$Q$3:$V$10,4,FALSE),0),0)</f>
        <v>0</v>
      </c>
      <c r="M15" s="171"/>
      <c r="N15" s="5">
        <f>IF(B14=1,IFERROR(E15*VLOOKUP(D15,$Q$3:$V$10,5,FALSE),0)+IFERROR(F15*VLOOKUP(D15,$Q$3:$V$10,5,FALSE),0),0)</f>
        <v>0</v>
      </c>
      <c r="O15" s="171"/>
      <c r="Q15" s="12" t="s">
        <v>47</v>
      </c>
      <c r="R15" s="12" t="s">
        <v>36</v>
      </c>
      <c r="S15" s="95">
        <v>4.5778950541973992E-2</v>
      </c>
      <c r="T15" s="95">
        <v>8.600808732534608E-2</v>
      </c>
    </row>
    <row r="16" spans="1:22" x14ac:dyDescent="0.25">
      <c r="A16" s="172" t="str">
        <f>Inmatning!B35</f>
        <v>-</v>
      </c>
      <c r="B16" s="172">
        <f>IF(OR(C16="Flexifuel etanol/bensin",C16="Bifuel gas/bensin",C16="Laddhybrid bensin",C16="Laddhybrid diesel"),1,0)</f>
        <v>0</v>
      </c>
      <c r="C16" s="172" t="str">
        <f>Inmatning!E35</f>
        <v>-</v>
      </c>
      <c r="D16" s="19" t="str">
        <f>IF(B16=1,IF(C16="Flexifuel etanol/bensin","Etanol (E85)",IF(C16="Bifuel gas/bensin","Fordonsgas (blandning)","El")),C16)</f>
        <v>-</v>
      </c>
      <c r="E16" s="5">
        <f>Inmatning!F35</f>
        <v>0</v>
      </c>
      <c r="F16" s="69">
        <f>IF(OR((E16+E17)&gt;0,H16&gt;0,B16&gt;0),0,IFERROR(Inmatning!J35/VLOOKUP(D16,Inmatning!$L$12:$M$18,2,FALSE),0))</f>
        <v>0</v>
      </c>
      <c r="G16" s="5" t="str">
        <f>IF(OR(C16="Bensin",C16="Diesel",C16="Biodiesel (HVO 100%)",C16="Etanol (E85)",C16="Flexifuel etanol/bensin"),"liter",IF(OR(C16="Fordonsgas (blandning)",C16="Biogas",C16="Bifuel gas/bensin"),"kg",IF(OR(C16="El",C16="Laddhybrid bensin",C16="Laddhybrid diesel"),"kWh","-")))</f>
        <v>-</v>
      </c>
      <c r="H16" s="172">
        <f>IF((E16+E17)&gt;0,0,Inmatning!H35)</f>
        <v>0</v>
      </c>
      <c r="I16" s="172" t="str">
        <f>IF(OR(A16="Långfärdsbuss",A16="Stadsbuss",A16="Tunnelbana",A16="Pendeltåg",A16="Regionaltåg",A16="Snabbtåg",A16="Intercitytåg"),"personkm","km")</f>
        <v>km</v>
      </c>
      <c r="J16" s="5">
        <f>IFERROR(E16*VLOOKUP(D16,$Q$3:$V$10,3,FALSE),0)+IFERROR(F16*VLOOKUP(D16,$Q$3:$V$10,3,FALSE),0)+
IFERROR(H16*VLOOKUP(_xlfn.CONCAT(A16," ",C16),$Q$11:$T$44,3,FALSE),IFERROR(H16*VLOOKUP(A16,$Q$11:$T$44,3,FALSE),0))</f>
        <v>0</v>
      </c>
      <c r="K16" s="171">
        <f t="shared" ref="K16" si="17">J16+J17</f>
        <v>0</v>
      </c>
      <c r="L16" s="5">
        <f>IFERROR(E16*VLOOKUP(D16,$Q$3:$V$10,4,FALSE),0)+IFERROR(F16*VLOOKUP(D16,$Q$3:$V$10,4,FALSE),0)+
IFERROR(H16*VLOOKUP(_xlfn.CONCAT(A16," ",C16),$Q$11:$T$44,4,FALSE),IFERROR(H16*VLOOKUP(A16,$Q$11:$T$44,4,FALSE),0))</f>
        <v>0</v>
      </c>
      <c r="M16" s="171">
        <f t="shared" ref="M16" si="18">L16+L17</f>
        <v>0</v>
      </c>
      <c r="N16" s="5">
        <f>IFERROR(E16*VLOOKUP(D16,$Q$3:$V$10,5,FALSE),0)+IFERROR(F16*VLOOKUP(D16,$Q$3:$V$10,5,FALSE),0)</f>
        <v>0</v>
      </c>
      <c r="O16" s="171">
        <f t="shared" ref="O16" si="19">IF(AND(N16+N17=0,OR(M16&lt;&gt;0,K16&lt;&gt;0)),"-",N16+N17)</f>
        <v>0</v>
      </c>
      <c r="Q16" s="12" t="s">
        <v>48</v>
      </c>
      <c r="R16" s="12" t="s">
        <v>36</v>
      </c>
      <c r="S16" s="95">
        <v>5.1393400008960921E-2</v>
      </c>
      <c r="T16" s="95">
        <v>6.7011009739573191E-2</v>
      </c>
    </row>
    <row r="17" spans="1:20" x14ac:dyDescent="0.25">
      <c r="A17" s="172"/>
      <c r="B17" s="172"/>
      <c r="C17" s="172"/>
      <c r="D17" s="19" t="str">
        <f>IF(B16=1,IF(C16="Laddhybrid diesel","Diesel","Bensin"),"--")</f>
        <v>--</v>
      </c>
      <c r="E17" s="5">
        <f>Inmatning!F36</f>
        <v>0</v>
      </c>
      <c r="F17" s="69">
        <f>IF(OR((E16+E17)&gt;0,H16&gt;0),0,IFERROR(Inmatning!J35/VLOOKUP(D17,Inmatning!$L$12:$M$18,2,FALSE),0))</f>
        <v>0</v>
      </c>
      <c r="G17" s="5" t="str">
        <f>IF(OR(C16="Flexifuel etanol/bensin",C16="Bifuel gas/bensin",C16="Laddhybrid bensin",C16="Laddhybrid diesel"),"liter","-")</f>
        <v>-</v>
      </c>
      <c r="H17" s="172"/>
      <c r="I17" s="172"/>
      <c r="J17" s="5">
        <f>IF(B16=1,IFERROR(E17*VLOOKUP(D17,$Q$3:$V$10,3,FALSE),0)+IFERROR(F17*VLOOKUP(D17,$Q$3:$V$10,3,FALSE),0),0)</f>
        <v>0</v>
      </c>
      <c r="K17" s="171"/>
      <c r="L17" s="5">
        <f>IF(B16=1,IFERROR(E17*VLOOKUP(D17,$Q$3:$V$10,4,FALSE),0)+IFERROR(F17*VLOOKUP(D17,$Q$3:$V$10,4,FALSE),0),0)</f>
        <v>0</v>
      </c>
      <c r="M17" s="171"/>
      <c r="N17" s="5">
        <f>IF(B16=1,IFERROR(E17*VLOOKUP(D17,$Q$3:$V$10,5,FALSE),0)+IFERROR(F17*VLOOKUP(D17,$Q$3:$V$10,5,FALSE),0),0)</f>
        <v>0</v>
      </c>
      <c r="O17" s="171"/>
      <c r="Q17" s="12" t="s">
        <v>49</v>
      </c>
      <c r="R17" s="12" t="s">
        <v>36</v>
      </c>
      <c r="S17" s="95">
        <v>3.5610818572815707E-2</v>
      </c>
      <c r="T17" s="95">
        <v>4.8180727599257255E-2</v>
      </c>
    </row>
    <row r="18" spans="1:20" x14ac:dyDescent="0.25">
      <c r="A18" s="172" t="str">
        <f>Inmatning!B37</f>
        <v>-</v>
      </c>
      <c r="B18" s="172">
        <f>IF(OR(C18="Flexifuel etanol/bensin",C18="Bifuel gas/bensin",C18="Laddhybrid bensin",C18="Laddhybrid diesel"),1,0)</f>
        <v>0</v>
      </c>
      <c r="C18" s="172" t="str">
        <f>Inmatning!E37</f>
        <v>-</v>
      </c>
      <c r="D18" s="19" t="str">
        <f>IF(B18=1,IF(C18="Flexifuel etanol/bensin","Etanol (E85)",IF(C18="Bifuel gas/bensin","Fordonsgas (blandning)","El")),C18)</f>
        <v>-</v>
      </c>
      <c r="E18" s="5">
        <f>Inmatning!F37</f>
        <v>0</v>
      </c>
      <c r="F18" s="69">
        <f>IF(OR((E18+E19)&gt;0,H18&gt;0,B18&gt;0),0,IFERROR(Inmatning!J37/VLOOKUP(D18,Inmatning!$L$12:$M$18,2,FALSE),0))</f>
        <v>0</v>
      </c>
      <c r="G18" s="5" t="str">
        <f>IF(OR(C18="Bensin",C18="Diesel",C18="Biodiesel (HVO 100%)",C18="Etanol (E85)",C18="Flexifuel etanol/bensin"),"liter",IF(OR(C18="Fordonsgas (blandning)",C18="Biogas",C18="Bifuel gas/bensin"),"kg",IF(OR(C18="El",C18="Laddhybrid bensin",C18="Laddhybrid diesel"),"kWh","-")))</f>
        <v>-</v>
      </c>
      <c r="H18" s="172">
        <f>IF((E18+E19)&gt;0,0,Inmatning!H37)</f>
        <v>0</v>
      </c>
      <c r="I18" s="172" t="str">
        <f>IF(OR(A18="Långfärdsbuss",A18="Stadsbuss",A18="Tunnelbana",A18="Pendeltåg",A18="Regionaltåg",A18="Snabbtåg",A18="Intercitytåg"),"personkm","km")</f>
        <v>km</v>
      </c>
      <c r="J18" s="5">
        <f>IFERROR(E18*VLOOKUP(D18,$Q$3:$V$10,3,FALSE),0)+IFERROR(F18*VLOOKUP(D18,$Q$3:$V$10,3,FALSE),0)+
IFERROR(H18*VLOOKUP(_xlfn.CONCAT(A18," ",C18),$Q$11:$T$44,3,FALSE),IFERROR(H18*VLOOKUP(A18,$Q$11:$T$44,3,FALSE),0))</f>
        <v>0</v>
      </c>
      <c r="K18" s="171">
        <f t="shared" ref="K18" si="20">J18+J19</f>
        <v>0</v>
      </c>
      <c r="L18" s="5">
        <f>IFERROR(E18*VLOOKUP(D18,$Q$3:$V$10,4,FALSE),0)+IFERROR(F18*VLOOKUP(D18,$Q$3:$V$10,4,FALSE),0)+
IFERROR(H18*VLOOKUP(_xlfn.CONCAT(A18," ",C18),$Q$11:$T$44,4,FALSE),IFERROR(H18*VLOOKUP(A18,$Q$11:$T$44,4,FALSE),0))</f>
        <v>0</v>
      </c>
      <c r="M18" s="171">
        <f t="shared" ref="M18" si="21">L18+L19</f>
        <v>0</v>
      </c>
      <c r="N18" s="5">
        <f>IFERROR(E18*VLOOKUP(D18,$Q$3:$V$10,5,FALSE),0)+IFERROR(F18*VLOOKUP(D18,$Q$3:$V$10,5,FALSE),0)</f>
        <v>0</v>
      </c>
      <c r="O18" s="171">
        <f t="shared" ref="O18" si="22">IF(AND(N18+N19=0,OR(M18&lt;&gt;0,K18&lt;&gt;0)),"-",N18+N19)</f>
        <v>0</v>
      </c>
      <c r="Q18" s="12" t="s">
        <v>122</v>
      </c>
      <c r="R18" s="12" t="s">
        <v>36</v>
      </c>
      <c r="S18" s="95">
        <v>2.2880999999999999E-2</v>
      </c>
      <c r="T18" s="95">
        <v>5.5559999999999998E-2</v>
      </c>
    </row>
    <row r="19" spans="1:20" x14ac:dyDescent="0.25">
      <c r="A19" s="172"/>
      <c r="B19" s="172"/>
      <c r="C19" s="172"/>
      <c r="D19" s="19" t="str">
        <f>IF(B18=1,IF(C18="Laddhybrid diesel","Diesel","Bensin"),"--")</f>
        <v>--</v>
      </c>
      <c r="E19" s="5">
        <f>Inmatning!F38</f>
        <v>0</v>
      </c>
      <c r="F19" s="69">
        <f>IF(OR((E18+E19)&gt;0,H18&gt;0),0,IFERROR(Inmatning!J37/VLOOKUP(D19,Inmatning!$L$12:$M$18,2,FALSE),0))</f>
        <v>0</v>
      </c>
      <c r="G19" s="5" t="str">
        <f>IF(OR(C18="Flexifuel etanol/bensin",C18="Bifuel gas/bensin",C18="Laddhybrid bensin",C18="Laddhybrid diesel"),"liter","-")</f>
        <v>-</v>
      </c>
      <c r="H19" s="172"/>
      <c r="I19" s="172"/>
      <c r="J19" s="5">
        <f>IF(B18=1,IFERROR(E19*VLOOKUP(D19,$Q$3:$V$10,3,FALSE),0)+IFERROR(F19*VLOOKUP(D19,$Q$3:$V$10,3,FALSE),0),0)</f>
        <v>0</v>
      </c>
      <c r="K19" s="171"/>
      <c r="L19" s="5">
        <f>IF(B18=1,IFERROR(E19*VLOOKUP(D19,$Q$3:$V$10,4,FALSE),0)+IFERROR(F19*VLOOKUP(D19,$Q$3:$V$10,4,FALSE),0),0)</f>
        <v>0</v>
      </c>
      <c r="M19" s="171"/>
      <c r="N19" s="5">
        <f>IF(B18=1,IFERROR(E19*VLOOKUP(D19,$Q$3:$V$10,5,FALSE),0)+IFERROR(F19*VLOOKUP(D19,$Q$3:$V$10,5,FALSE),0),0)</f>
        <v>0</v>
      </c>
      <c r="O19" s="171"/>
      <c r="Q19" s="12" t="s">
        <v>123</v>
      </c>
      <c r="R19" s="12" t="s">
        <v>36</v>
      </c>
      <c r="S19" s="95">
        <v>0</v>
      </c>
      <c r="T19" s="95">
        <v>3.4369999999999998E-2</v>
      </c>
    </row>
    <row r="20" spans="1:20" x14ac:dyDescent="0.25">
      <c r="A20" s="172" t="str">
        <f>Inmatning!B39</f>
        <v>-</v>
      </c>
      <c r="B20" s="172">
        <f>IF(OR(C20="Flexifuel etanol/bensin",C20="Bifuel gas/bensin",C20="Laddhybrid bensin",C20="Laddhybrid diesel"),1,0)</f>
        <v>0</v>
      </c>
      <c r="C20" s="172" t="str">
        <f>Inmatning!E39</f>
        <v>-</v>
      </c>
      <c r="D20" s="19" t="str">
        <f>IF(B20=1,IF(C20="Flexifuel etanol/bensin","Etanol (E85)",IF(C20="Bifuel gas/bensin","Fordonsgas (blandning)","El")),C20)</f>
        <v>-</v>
      </c>
      <c r="E20" s="5">
        <f>Inmatning!F39</f>
        <v>0</v>
      </c>
      <c r="F20" s="69">
        <f>IF(OR((E20+E21)&gt;0,H20&gt;0,B20&gt;0),0,IFERROR(Inmatning!J39/VLOOKUP(D20,Inmatning!$L$12:$M$18,2,FALSE),0))</f>
        <v>0</v>
      </c>
      <c r="G20" s="5" t="str">
        <f>IF(OR(C20="Bensin",C20="Diesel",C20="Biodiesel (HVO 100%)",C20="Etanol (E85)",C20="Flexifuel etanol/bensin"),"liter",IF(OR(C20="Fordonsgas (blandning)",C20="Biogas",C20="Bifuel gas/bensin"),"kg",IF(OR(C20="El",C20="Laddhybrid bensin",C20="Laddhybrid diesel"),"kWh","-")))</f>
        <v>-</v>
      </c>
      <c r="H20" s="172">
        <f>IF((E20+E21)&gt;0,0,Inmatning!H39)</f>
        <v>0</v>
      </c>
      <c r="I20" s="172" t="str">
        <f>IF(OR(A20="Långfärdsbuss",A20="Stadsbuss",A20="Tunnelbana",A20="Pendeltåg",A20="Regionaltåg",A20="Snabbtåg",A20="Intercitytåg"),"personkm","km")</f>
        <v>km</v>
      </c>
      <c r="J20" s="5">
        <f>IFERROR(E20*VLOOKUP(D20,$Q$3:$V$10,3,FALSE),0)+IFERROR(F20*VLOOKUP(D20,$Q$3:$V$10,3,FALSE),0)+
IFERROR(H20*VLOOKUP(_xlfn.CONCAT(A20," ",C20),$Q$11:$T$44,3,FALSE),IFERROR(H20*VLOOKUP(A20,$Q$11:$T$44,3,FALSE),0))</f>
        <v>0</v>
      </c>
      <c r="K20" s="171">
        <f t="shared" ref="K20" si="23">J20+J21</f>
        <v>0</v>
      </c>
      <c r="L20" s="5">
        <f>IFERROR(E20*VLOOKUP(D20,$Q$3:$V$10,4,FALSE),0)+IFERROR(F20*VLOOKUP(D20,$Q$3:$V$10,4,FALSE),0)+
IFERROR(H20*VLOOKUP(_xlfn.CONCAT(A20," ",C20),$Q$11:$T$44,4,FALSE),IFERROR(H20*VLOOKUP(A20,$Q$11:$T$44,4,FALSE),0))</f>
        <v>0</v>
      </c>
      <c r="M20" s="171">
        <f t="shared" ref="M20" si="24">L20+L21</f>
        <v>0</v>
      </c>
      <c r="N20" s="5">
        <f>IFERROR(E20*VLOOKUP(D20,$Q$3:$V$10,5,FALSE),0)+IFERROR(F20*VLOOKUP(D20,$Q$3:$V$10,5,FALSE),0)</f>
        <v>0</v>
      </c>
      <c r="O20" s="171">
        <f t="shared" ref="O20" si="25">IF(AND(N20+N21=0,OR(M20&lt;&gt;0,K20&lt;&gt;0)),"-",N20+N21)</f>
        <v>0</v>
      </c>
      <c r="Q20" s="13" t="s">
        <v>50</v>
      </c>
      <c r="R20" s="13" t="s">
        <v>36</v>
      </c>
      <c r="S20" s="96">
        <v>0</v>
      </c>
      <c r="T20" s="96">
        <v>6.8191032742603522E-3</v>
      </c>
    </row>
    <row r="21" spans="1:20" x14ac:dyDescent="0.25">
      <c r="A21" s="172"/>
      <c r="B21" s="172"/>
      <c r="C21" s="172"/>
      <c r="D21" s="19" t="str">
        <f>IF(B20=1,IF(C20="Laddhybrid diesel","Diesel","Bensin"),"--")</f>
        <v>--</v>
      </c>
      <c r="E21" s="5">
        <f>Inmatning!F40</f>
        <v>0</v>
      </c>
      <c r="F21" s="69">
        <f>IF(OR((E20+E21)&gt;0,H20&gt;0),0,IFERROR(Inmatning!J39/VLOOKUP(D21,Inmatning!$L$12:$M$18,2,FALSE),0))</f>
        <v>0</v>
      </c>
      <c r="G21" s="5" t="str">
        <f>IF(OR(C20="Flexifuel etanol/bensin",C20="Bifuel gas/bensin",C20="Laddhybrid bensin",C20="Laddhybrid diesel"),"liter","-")</f>
        <v>-</v>
      </c>
      <c r="H21" s="172"/>
      <c r="I21" s="172"/>
      <c r="J21" s="5">
        <f>IF(B20=1,IFERROR(E21*VLOOKUP(D21,$Q$3:$V$10,3,FALSE),0)+IFERROR(F21*VLOOKUP(D21,$Q$3:$V$10,3,FALSE),0),0)</f>
        <v>0</v>
      </c>
      <c r="K21" s="171"/>
      <c r="L21" s="5">
        <f>IF(B20=1,IFERROR(E21*VLOOKUP(D21,$Q$3:$V$10,4,FALSE),0)+IFERROR(F21*VLOOKUP(D21,$Q$3:$V$10,4,FALSE),0),0)</f>
        <v>0</v>
      </c>
      <c r="M21" s="171"/>
      <c r="N21" s="5">
        <f>IF(B20=1,IFERROR(E21*VLOOKUP(D21,$Q$3:$V$10,5,FALSE),0)+IFERROR(F21*VLOOKUP(D21,$Q$3:$V$10,5,FALSE),0),0)</f>
        <v>0</v>
      </c>
      <c r="O21" s="171"/>
      <c r="Q21" s="79" t="s">
        <v>15</v>
      </c>
      <c r="R21" s="79" t="s">
        <v>36</v>
      </c>
      <c r="S21" s="97">
        <v>0</v>
      </c>
      <c r="T21" s="97">
        <v>0</v>
      </c>
    </row>
    <row r="22" spans="1:20" x14ac:dyDescent="0.25">
      <c r="Q22" s="79" t="s">
        <v>11</v>
      </c>
      <c r="R22" s="79" t="s">
        <v>36</v>
      </c>
      <c r="S22" s="97">
        <f>AVERAGE(S23:S24)</f>
        <v>0.16652422051160212</v>
      </c>
      <c r="T22" s="97">
        <f>AVERAGE(T23:T24)</f>
        <v>0.20250164043064062</v>
      </c>
    </row>
    <row r="23" spans="1:20" x14ac:dyDescent="0.25">
      <c r="Q23" s="12" t="s">
        <v>51</v>
      </c>
      <c r="R23" s="12" t="s">
        <v>36</v>
      </c>
      <c r="S23" s="95">
        <v>0.18043210885230421</v>
      </c>
      <c r="T23" s="95">
        <v>0.21934057683289626</v>
      </c>
    </row>
    <row r="24" spans="1:20" x14ac:dyDescent="0.25">
      <c r="N24" s="17"/>
      <c r="O24" s="17"/>
      <c r="P24" s="17"/>
      <c r="Q24" s="12" t="s">
        <v>52</v>
      </c>
      <c r="R24" s="12" t="s">
        <v>36</v>
      </c>
      <c r="S24" s="95">
        <v>0.15261633217090004</v>
      </c>
      <c r="T24" s="95">
        <v>0.185662704028385</v>
      </c>
    </row>
    <row r="25" spans="1:20" x14ac:dyDescent="0.25">
      <c r="N25" s="17"/>
      <c r="O25" s="17"/>
      <c r="P25" s="17"/>
      <c r="Q25" s="12" t="s">
        <v>53</v>
      </c>
      <c r="R25" s="12" t="s">
        <v>36</v>
      </c>
      <c r="S25" s="95">
        <v>6.1287847743739972E-2</v>
      </c>
      <c r="T25" s="95">
        <v>0.1061830383629582</v>
      </c>
    </row>
    <row r="26" spans="1:20" x14ac:dyDescent="0.25">
      <c r="N26" s="17"/>
      <c r="O26" s="17"/>
      <c r="P26" s="17"/>
      <c r="Q26" s="12" t="s">
        <v>54</v>
      </c>
      <c r="R26" s="12" t="s">
        <v>36</v>
      </c>
      <c r="S26" s="95">
        <v>0</v>
      </c>
      <c r="T26" s="95">
        <v>7.413141902158785E-3</v>
      </c>
    </row>
    <row r="27" spans="1:20" x14ac:dyDescent="0.25">
      <c r="N27" s="17"/>
      <c r="O27" s="17"/>
      <c r="P27" s="17"/>
      <c r="Q27" s="12" t="s">
        <v>12</v>
      </c>
      <c r="R27" s="12" t="s">
        <v>36</v>
      </c>
      <c r="S27" s="95">
        <v>0.61829309365547058</v>
      </c>
      <c r="T27" s="95">
        <v>0.76011599339934321</v>
      </c>
    </row>
    <row r="28" spans="1:20" x14ac:dyDescent="0.25">
      <c r="N28" s="17"/>
      <c r="O28" s="17"/>
      <c r="P28" s="17"/>
      <c r="Q28" s="12" t="s">
        <v>14</v>
      </c>
      <c r="R28" s="12" t="s">
        <v>36</v>
      </c>
      <c r="S28" s="95">
        <v>0.10635317209974168</v>
      </c>
      <c r="T28" s="95">
        <v>0.12901307918139296</v>
      </c>
    </row>
    <row r="29" spans="1:20" x14ac:dyDescent="0.25">
      <c r="N29" s="17"/>
      <c r="O29" s="17"/>
      <c r="P29" s="17"/>
      <c r="Q29" s="12" t="s">
        <v>13</v>
      </c>
      <c r="R29" s="12" t="s">
        <v>42</v>
      </c>
      <c r="S29" s="95">
        <f>S30</f>
        <v>6.088717524052481E-2</v>
      </c>
      <c r="T29" s="95">
        <f>T30</f>
        <v>8.5164965538977039E-2</v>
      </c>
    </row>
    <row r="30" spans="1:20" x14ac:dyDescent="0.25">
      <c r="N30" s="17"/>
      <c r="O30" s="17"/>
      <c r="P30" s="17"/>
      <c r="Q30" s="12" t="s">
        <v>133</v>
      </c>
      <c r="R30" s="12" t="s">
        <v>36</v>
      </c>
      <c r="S30" s="95">
        <v>6.088717524052481E-2</v>
      </c>
      <c r="T30" s="95">
        <v>8.5164965538977039E-2</v>
      </c>
    </row>
    <row r="31" spans="1:20" x14ac:dyDescent="0.25">
      <c r="N31" s="17"/>
      <c r="O31" s="17"/>
      <c r="P31" s="17"/>
      <c r="Q31" s="12" t="s">
        <v>55</v>
      </c>
      <c r="R31" s="12" t="s">
        <v>36</v>
      </c>
      <c r="S31" s="95">
        <v>0</v>
      </c>
      <c r="T31" s="95">
        <v>1.0998677805507164E-4</v>
      </c>
    </row>
    <row r="32" spans="1:20" x14ac:dyDescent="0.25">
      <c r="N32" s="17"/>
      <c r="O32" s="17"/>
      <c r="P32" s="17"/>
      <c r="Q32" s="12" t="s">
        <v>17</v>
      </c>
      <c r="R32" s="12" t="s">
        <v>36</v>
      </c>
      <c r="S32" s="95">
        <v>0.1142225968916481</v>
      </c>
      <c r="T32" s="95">
        <v>0.13986725527369404</v>
      </c>
    </row>
    <row r="33" spans="14:20" x14ac:dyDescent="0.25">
      <c r="N33" s="17"/>
      <c r="O33" s="17"/>
      <c r="Q33" s="12" t="s">
        <v>16</v>
      </c>
      <c r="R33" s="12" t="s">
        <v>42</v>
      </c>
      <c r="S33" s="95">
        <v>3.4160000000000002E-3</v>
      </c>
      <c r="T33" s="95">
        <v>3.5820000000000001E-3</v>
      </c>
    </row>
    <row r="34" spans="14:20" x14ac:dyDescent="0.25">
      <c r="N34" s="17"/>
      <c r="O34" s="17"/>
      <c r="Q34" s="12" t="s">
        <v>19</v>
      </c>
      <c r="R34" s="12" t="s">
        <v>42</v>
      </c>
      <c r="S34" s="95">
        <v>4.2649999999999997E-3</v>
      </c>
      <c r="T34" s="95">
        <v>4.4720000000000003E-3</v>
      </c>
    </row>
    <row r="35" spans="14:20" x14ac:dyDescent="0.25">
      <c r="Q35" s="12" t="s">
        <v>20</v>
      </c>
      <c r="R35" s="12" t="s">
        <v>42</v>
      </c>
      <c r="S35" s="95">
        <v>2.6120000000000002E-3</v>
      </c>
      <c r="T35" s="95">
        <v>2.7390000000000001E-3</v>
      </c>
    </row>
    <row r="36" spans="14:20" x14ac:dyDescent="0.25">
      <c r="Q36" s="12" t="s">
        <v>21</v>
      </c>
      <c r="R36" s="12" t="s">
        <v>42</v>
      </c>
      <c r="S36" s="95">
        <v>1.856E-3</v>
      </c>
      <c r="T36" s="95">
        <v>1.9449999999999999E-3</v>
      </c>
    </row>
    <row r="37" spans="14:20" x14ac:dyDescent="0.25">
      <c r="Q37" s="12" t="s">
        <v>22</v>
      </c>
      <c r="R37" s="12" t="s">
        <v>42</v>
      </c>
      <c r="S37" s="95">
        <v>1.3439999999999999E-3</v>
      </c>
      <c r="T37" s="95">
        <v>1.4090000000000001E-3</v>
      </c>
    </row>
    <row r="38" spans="14:20" x14ac:dyDescent="0.25">
      <c r="Q38" s="12" t="s">
        <v>39</v>
      </c>
      <c r="R38" s="12" t="s">
        <v>42</v>
      </c>
      <c r="S38" s="95">
        <f>S40</f>
        <v>7.4445337091095298E-2</v>
      </c>
      <c r="T38" s="95">
        <f>T40</f>
        <v>9.1035723276404384E-2</v>
      </c>
    </row>
    <row r="39" spans="14:20" x14ac:dyDescent="0.25">
      <c r="Q39" s="12" t="s">
        <v>56</v>
      </c>
      <c r="R39" s="12" t="s">
        <v>42</v>
      </c>
      <c r="S39" s="95">
        <v>0</v>
      </c>
      <c r="T39" s="95">
        <v>2.7803454923425643E-3</v>
      </c>
    </row>
    <row r="40" spans="14:20" x14ac:dyDescent="0.25">
      <c r="Q40" s="12" t="s">
        <v>57</v>
      </c>
      <c r="R40" s="12" t="s">
        <v>42</v>
      </c>
      <c r="S40" s="95">
        <v>7.4445337091095298E-2</v>
      </c>
      <c r="T40" s="95">
        <v>9.1035723276404384E-2</v>
      </c>
    </row>
    <row r="41" spans="14:20" x14ac:dyDescent="0.25">
      <c r="Q41" s="12" t="s">
        <v>58</v>
      </c>
      <c r="R41" s="12" t="s">
        <v>42</v>
      </c>
      <c r="S41" s="95">
        <v>1.9415620370805277E-2</v>
      </c>
      <c r="T41" s="95">
        <v>4.7059046671775927E-2</v>
      </c>
    </row>
    <row r="42" spans="14:20" x14ac:dyDescent="0.25">
      <c r="Q42" s="12" t="s">
        <v>59</v>
      </c>
      <c r="R42" s="12" t="s">
        <v>42</v>
      </c>
      <c r="S42" s="95">
        <v>0</v>
      </c>
      <c r="T42" s="95">
        <v>2.9060405695821929E-2</v>
      </c>
    </row>
    <row r="43" spans="14:20" x14ac:dyDescent="0.25">
      <c r="Q43" s="12" t="s">
        <v>60</v>
      </c>
      <c r="R43" s="12" t="s">
        <v>42</v>
      </c>
      <c r="S43" s="95">
        <v>0</v>
      </c>
      <c r="T43" s="95">
        <v>1.7637047309458552E-2</v>
      </c>
    </row>
    <row r="44" spans="14:20" x14ac:dyDescent="0.25">
      <c r="Q44" s="12" t="s">
        <v>40</v>
      </c>
      <c r="R44" s="12" t="s">
        <v>42</v>
      </c>
      <c r="S44" s="95">
        <v>4.7329365453565898E-2</v>
      </c>
      <c r="T44" s="95">
        <v>5.9621922736235441E-2</v>
      </c>
    </row>
  </sheetData>
  <sheetProtection algorithmName="SHA-512" hashValue="5WOvk8VOSLDkw3ro5m0k2E5FWE79BVYpwUQPl19biRGJ/A1dGRA6S8z2UpMbogyhUKAoAMC3TWA1ApESEJnYBw==" saltValue="cRmHPs27fV0D1eQD2R6Z8Q==" spinCount="100000" sheet="1" objects="1" scenarios="1"/>
  <mergeCells count="80">
    <mergeCell ref="I16:I17"/>
    <mergeCell ref="K20:K21"/>
    <mergeCell ref="M20:M21"/>
    <mergeCell ref="O20:O21"/>
    <mergeCell ref="A20:A21"/>
    <mergeCell ref="B20:B21"/>
    <mergeCell ref="C20:C21"/>
    <mergeCell ref="H20:H21"/>
    <mergeCell ref="I20:I21"/>
    <mergeCell ref="I12:I13"/>
    <mergeCell ref="K16:K17"/>
    <mergeCell ref="M16:M17"/>
    <mergeCell ref="O16:O17"/>
    <mergeCell ref="A18:A19"/>
    <mergeCell ref="B18:B19"/>
    <mergeCell ref="C18:C19"/>
    <mergeCell ref="H18:H19"/>
    <mergeCell ref="I18:I19"/>
    <mergeCell ref="K18:K19"/>
    <mergeCell ref="M18:M19"/>
    <mergeCell ref="O18:O19"/>
    <mergeCell ref="A16:A17"/>
    <mergeCell ref="B16:B17"/>
    <mergeCell ref="C16:C17"/>
    <mergeCell ref="H16:H17"/>
    <mergeCell ref="I8:I9"/>
    <mergeCell ref="K12:K13"/>
    <mergeCell ref="M12:M13"/>
    <mergeCell ref="O12:O13"/>
    <mergeCell ref="A14:A15"/>
    <mergeCell ref="B14:B15"/>
    <mergeCell ref="C14:C15"/>
    <mergeCell ref="H14:H15"/>
    <mergeCell ref="I14:I15"/>
    <mergeCell ref="K14:K15"/>
    <mergeCell ref="M14:M15"/>
    <mergeCell ref="O14:O15"/>
    <mergeCell ref="A12:A13"/>
    <mergeCell ref="B12:B13"/>
    <mergeCell ref="C12:C13"/>
    <mergeCell ref="H12:H13"/>
    <mergeCell ref="I4:I5"/>
    <mergeCell ref="K8:K9"/>
    <mergeCell ref="M8:M9"/>
    <mergeCell ref="O8:O9"/>
    <mergeCell ref="A10:A11"/>
    <mergeCell ref="B10:B11"/>
    <mergeCell ref="C10:C11"/>
    <mergeCell ref="H10:H11"/>
    <mergeCell ref="I10:I11"/>
    <mergeCell ref="K10:K11"/>
    <mergeCell ref="M10:M11"/>
    <mergeCell ref="O10:O11"/>
    <mergeCell ref="A8:A9"/>
    <mergeCell ref="B8:B9"/>
    <mergeCell ref="C8:C9"/>
    <mergeCell ref="H8:H9"/>
    <mergeCell ref="K4:K5"/>
    <mergeCell ref="K2:K3"/>
    <mergeCell ref="M4:M5"/>
    <mergeCell ref="O4:O5"/>
    <mergeCell ref="A6:A7"/>
    <mergeCell ref="B6:B7"/>
    <mergeCell ref="C6:C7"/>
    <mergeCell ref="H6:H7"/>
    <mergeCell ref="I6:I7"/>
    <mergeCell ref="K6:K7"/>
    <mergeCell ref="M6:M7"/>
    <mergeCell ref="O6:O7"/>
    <mergeCell ref="A4:A5"/>
    <mergeCell ref="B4:B5"/>
    <mergeCell ref="C4:C5"/>
    <mergeCell ref="H4:H5"/>
    <mergeCell ref="M2:M3"/>
    <mergeCell ref="O2:O3"/>
    <mergeCell ref="C2:C3"/>
    <mergeCell ref="A2:A3"/>
    <mergeCell ref="B2:B3"/>
    <mergeCell ref="H2:H3"/>
    <mergeCell ref="I2: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Information</vt:lpstr>
      <vt:lpstr>Inmatning</vt:lpstr>
      <vt:lpstr>Summering</vt:lpstr>
      <vt:lpstr>Grafer</vt:lpstr>
      <vt:lpstr>Rullista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Verktyg för beräkning och uppföljning av bränsle, fordon och transporters klimatutsläpp</dc:title>
  <dc:subject>Klimat</dc:subject>
  <dc:creator>Green Gustav</dc:creator>
  <cp:lastModifiedBy>Green Gustav</cp:lastModifiedBy>
  <dcterms:created xsi:type="dcterms:W3CDTF">2020-02-28T10:56:57Z</dcterms:created>
  <dcterms:modified xsi:type="dcterms:W3CDTF">2020-08-12T12:28:05Z</dcterms:modified>
</cp:coreProperties>
</file>